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worksheets/sheet1.xml" ContentType="application/vnd.openxmlformats-officedocument.spreadsheetml.worksheet+xml"/>
  <Override PartName="/xl/charts/style5.xml" ContentType="application/vnd.ms-office.chartstyle+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olors5.xml" ContentType="application/vnd.ms-office.chartcolorstyle+xml"/>
  <Override PartName="/xl/charts/chart3.xml" ContentType="application/vnd.openxmlformats-officedocument.drawingml.char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metadata.xml" ContentType="application/vnd.openxmlformats-officedocument.spreadsheetml.sheetMetadata+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aveExternalLinkValues="0" codeName="ThisWorkbook" autoCompressPictures="0"/>
  <mc:AlternateContent xmlns:mc="http://schemas.openxmlformats.org/markup-compatibility/2006">
    <mc:Choice Requires="x15">
      <x15ac:absPath xmlns:x15ac="http://schemas.microsoft.com/office/spreadsheetml/2010/11/ac" url="C:\Users\sosafog\Downloads\SSI Validation\"/>
    </mc:Choice>
  </mc:AlternateContent>
  <bookViews>
    <workbookView xWindow="28680" yWindow="-120" windowWidth="29040" windowHeight="15840" firstSheet="2" activeTab="3"/>
  </bookViews>
  <sheets>
    <sheet name="Instructions" sheetId="34" r:id="rId1"/>
    <sheet name="Intersections Included" sheetId="38" r:id="rId2"/>
    <sheet name="Input sheet" sheetId="35" r:id="rId3"/>
    <sheet name="Results" sheetId="44" r:id="rId4"/>
    <sheet name="Equations and Assumptions" sheetId="45" r:id="rId5"/>
    <sheet name="SSI_Calculation" sheetId="39" r:id="rId6"/>
    <sheet name="1.Conventional" sheetId="26" r:id="rId7"/>
    <sheet name="2.Partial CFI" sheetId="22" r:id="rId8"/>
    <sheet name="3.RCI" sheetId="32" r:id="rId9"/>
    <sheet name="4.Two-Phase MUT" sheetId="33" r:id="rId10"/>
  </sheets>
  <calcPr calcId="15251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32" l="1"/>
  <c r="M19" i="32"/>
  <c r="M18" i="32"/>
  <c r="N18" i="32" s="1"/>
  <c r="M17" i="32"/>
  <c r="M16" i="32"/>
  <c r="M15" i="32"/>
  <c r="M14" i="32"/>
  <c r="M13" i="32"/>
  <c r="M12" i="32"/>
  <c r="N12" i="32" s="1"/>
  <c r="M11" i="32"/>
  <c r="M10" i="32"/>
  <c r="M9" i="32"/>
  <c r="M7" i="32"/>
  <c r="N6" i="32"/>
  <c r="M6" i="32"/>
  <c r="C29" i="33" l="1"/>
  <c r="C30" i="33"/>
  <c r="C31" i="33"/>
  <c r="C32" i="33"/>
  <c r="C33" i="33"/>
  <c r="C29" i="32"/>
  <c r="C30" i="32"/>
  <c r="C31" i="32"/>
  <c r="C32" i="32"/>
  <c r="C33" i="32"/>
  <c r="C29" i="22"/>
  <c r="C30" i="22"/>
  <c r="C31" i="22"/>
  <c r="C32" i="22"/>
  <c r="C33" i="22"/>
  <c r="C29" i="26"/>
  <c r="C30" i="26"/>
  <c r="C31" i="26"/>
  <c r="C32" i="26"/>
  <c r="C33" i="26"/>
  <c r="M26" i="45" l="1"/>
  <c r="M25" i="45"/>
  <c r="M24" i="45"/>
  <c r="M23" i="45"/>
  <c r="M22" i="45"/>
  <c r="M21" i="45"/>
  <c r="M19" i="45"/>
  <c r="M18" i="45"/>
  <c r="K54" i="33"/>
  <c r="G54" i="33"/>
  <c r="C54" i="33"/>
  <c r="D48" i="33"/>
  <c r="B48" i="33"/>
  <c r="B42" i="33" s="1"/>
  <c r="A48" i="33"/>
  <c r="A42" i="33" s="1"/>
  <c r="F42" i="33"/>
  <c r="K54" i="32"/>
  <c r="G54" i="32"/>
  <c r="C54" i="32"/>
  <c r="D48" i="32"/>
  <c r="B48" i="32"/>
  <c r="B42" i="32" s="1"/>
  <c r="A48" i="32"/>
  <c r="A42" i="32" s="1"/>
  <c r="F42" i="32"/>
  <c r="K54" i="22"/>
  <c r="G54" i="22"/>
  <c r="C54" i="22"/>
  <c r="D48" i="22"/>
  <c r="B48" i="22"/>
  <c r="B42" i="22" s="1"/>
  <c r="A48" i="22"/>
  <c r="A42" i="22" s="1"/>
  <c r="F42" i="22"/>
  <c r="C54" i="26"/>
  <c r="D54" i="26"/>
  <c r="E54" i="26"/>
  <c r="F54" i="26"/>
  <c r="G54" i="26"/>
  <c r="K54" i="26"/>
  <c r="A48" i="26"/>
  <c r="B48" i="26"/>
  <c r="D48" i="26"/>
  <c r="R17" i="26" l="1"/>
  <c r="M16" i="39" s="1"/>
  <c r="R18" i="26"/>
  <c r="M17" i="39" s="1"/>
  <c r="R19" i="26"/>
  <c r="M18" i="39" s="1"/>
  <c r="R20" i="26"/>
  <c r="M19" i="39" s="1"/>
  <c r="R21" i="26"/>
  <c r="M20" i="39" s="1"/>
  <c r="R22" i="26"/>
  <c r="M21" i="39" s="1"/>
  <c r="R23" i="26"/>
  <c r="M22" i="39" s="1"/>
  <c r="R24" i="26"/>
  <c r="M23" i="39" s="1"/>
  <c r="R25" i="26"/>
  <c r="M24" i="39" s="1"/>
  <c r="R26" i="26"/>
  <c r="M25" i="39" s="1"/>
  <c r="R27" i="26"/>
  <c r="M26" i="39" s="1"/>
  <c r="R28" i="26"/>
  <c r="M27" i="39" s="1"/>
  <c r="R29" i="26"/>
  <c r="M28" i="39" s="1"/>
  <c r="R30" i="26"/>
  <c r="M29" i="39" s="1"/>
  <c r="R31" i="26"/>
  <c r="M30" i="39" s="1"/>
  <c r="R32" i="26"/>
  <c r="M31" i="39" s="1"/>
  <c r="R33" i="26"/>
  <c r="M32" i="39" s="1"/>
  <c r="R34" i="26"/>
  <c r="M33" i="39" s="1"/>
  <c r="R35" i="26"/>
  <c r="M34" i="39" s="1"/>
  <c r="R36" i="26"/>
  <c r="M35" i="39" s="1"/>
  <c r="R37" i="26"/>
  <c r="M36" i="39" s="1"/>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T65" i="39"/>
  <c r="AT66" i="39"/>
  <c r="AT67" i="39"/>
  <c r="AT68" i="39"/>
  <c r="AT69" i="39"/>
  <c r="AT70" i="39"/>
  <c r="AT71" i="39"/>
  <c r="AT72" i="39"/>
  <c r="AT73" i="39"/>
  <c r="AT74" i="39"/>
  <c r="AT75" i="39"/>
  <c r="AT76" i="39"/>
  <c r="AT77" i="39"/>
  <c r="AT78" i="39"/>
  <c r="AT79" i="39"/>
  <c r="AT80" i="39"/>
  <c r="AT81" i="39"/>
  <c r="AT82" i="39"/>
  <c r="AT83" i="39"/>
  <c r="AT84" i="39"/>
  <c r="AT85" i="39"/>
  <c r="AT86" i="39"/>
  <c r="AT87" i="39"/>
  <c r="AT88" i="39"/>
  <c r="AT89" i="39"/>
  <c r="AT90" i="39"/>
  <c r="AT91" i="39"/>
  <c r="AT92" i="39"/>
  <c r="AT93" i="39"/>
  <c r="AT94" i="39"/>
  <c r="AT95" i="39"/>
  <c r="AT96" i="39"/>
  <c r="W5" i="39"/>
  <c r="X5" i="39"/>
  <c r="Z5" i="39"/>
  <c r="AB5" i="39"/>
  <c r="AC5" i="39"/>
  <c r="AD5" i="39"/>
  <c r="AE5" i="39"/>
  <c r="AF5" i="39"/>
  <c r="AG5" i="39"/>
  <c r="W6" i="39"/>
  <c r="X6" i="39"/>
  <c r="Z6" i="39"/>
  <c r="AB6" i="39"/>
  <c r="AC6" i="39"/>
  <c r="AD6" i="39"/>
  <c r="AE6" i="39"/>
  <c r="AF6" i="39"/>
  <c r="W7" i="39"/>
  <c r="X7" i="39"/>
  <c r="Z7" i="39"/>
  <c r="AB7" i="39"/>
  <c r="AC7" i="39"/>
  <c r="AD7" i="39"/>
  <c r="AE7" i="39"/>
  <c r="AF7" i="39"/>
  <c r="W8" i="39"/>
  <c r="X8" i="39"/>
  <c r="Z8" i="39"/>
  <c r="AB8" i="39"/>
  <c r="AC8" i="39"/>
  <c r="AD8" i="39"/>
  <c r="AE8" i="39"/>
  <c r="AF8" i="39"/>
  <c r="W9" i="39"/>
  <c r="X9" i="39"/>
  <c r="Z9" i="39"/>
  <c r="AB9" i="39"/>
  <c r="AC9" i="39"/>
  <c r="AD9" i="39"/>
  <c r="AE9" i="39"/>
  <c r="AF9" i="39"/>
  <c r="W10" i="39"/>
  <c r="X10" i="39"/>
  <c r="Z10" i="39"/>
  <c r="AB10" i="39"/>
  <c r="AC10" i="39"/>
  <c r="AD10" i="39"/>
  <c r="AE10" i="39"/>
  <c r="AF10" i="39"/>
  <c r="W11" i="39"/>
  <c r="X11" i="39"/>
  <c r="Z11" i="39"/>
  <c r="AB11" i="39"/>
  <c r="AC11" i="39"/>
  <c r="AD11" i="39"/>
  <c r="AE11" i="39"/>
  <c r="AF11" i="39"/>
  <c r="W12" i="39"/>
  <c r="X12" i="39"/>
  <c r="Z12" i="39"/>
  <c r="AB12" i="39"/>
  <c r="AC12" i="39"/>
  <c r="AD12" i="39"/>
  <c r="AE12" i="39"/>
  <c r="AF12" i="39"/>
  <c r="W13" i="39"/>
  <c r="X13" i="39"/>
  <c r="Z13" i="39"/>
  <c r="AB13" i="39"/>
  <c r="AD13" i="39"/>
  <c r="AE13" i="39"/>
  <c r="W14" i="39"/>
  <c r="X14" i="39"/>
  <c r="Z14" i="39"/>
  <c r="AB14" i="39"/>
  <c r="AD14" i="39"/>
  <c r="AE14" i="39"/>
  <c r="W15" i="39"/>
  <c r="X15" i="39"/>
  <c r="Z15" i="39"/>
  <c r="AB15" i="39"/>
  <c r="AD15" i="39"/>
  <c r="AE15" i="39"/>
  <c r="W16" i="39"/>
  <c r="X16" i="39"/>
  <c r="Z16" i="39"/>
  <c r="AB16" i="39"/>
  <c r="AD16" i="39"/>
  <c r="AE16" i="39"/>
  <c r="W17" i="39"/>
  <c r="X17" i="39"/>
  <c r="Z17" i="39"/>
  <c r="AB17" i="39"/>
  <c r="AD17" i="39"/>
  <c r="AE17" i="39"/>
  <c r="W18" i="39"/>
  <c r="X18" i="39"/>
  <c r="Z18" i="39"/>
  <c r="AB18" i="39"/>
  <c r="AD18" i="39"/>
  <c r="AE18" i="39"/>
  <c r="W19" i="39"/>
  <c r="X19" i="39"/>
  <c r="Z19" i="39"/>
  <c r="AB19" i="39"/>
  <c r="AD19" i="39"/>
  <c r="AE19" i="39"/>
  <c r="W20" i="39"/>
  <c r="X20" i="39"/>
  <c r="Z20" i="39"/>
  <c r="AB20" i="39"/>
  <c r="AD20" i="39"/>
  <c r="AE20" i="39"/>
  <c r="W21" i="39"/>
  <c r="X21" i="39"/>
  <c r="Z21" i="39"/>
  <c r="AB21" i="39"/>
  <c r="AD21" i="39"/>
  <c r="AE21" i="39"/>
  <c r="W22" i="39"/>
  <c r="X22" i="39"/>
  <c r="Z22" i="39"/>
  <c r="AB22" i="39"/>
  <c r="AD22" i="39"/>
  <c r="AE22" i="39"/>
  <c r="W23" i="39"/>
  <c r="X23" i="39"/>
  <c r="Z23" i="39"/>
  <c r="AB23" i="39"/>
  <c r="AD23" i="39"/>
  <c r="AE23" i="39"/>
  <c r="W24" i="39"/>
  <c r="X24" i="39"/>
  <c r="Z24" i="39"/>
  <c r="AB24" i="39"/>
  <c r="AD24" i="39"/>
  <c r="AE24" i="39"/>
  <c r="W25" i="39"/>
  <c r="X25" i="39"/>
  <c r="Z25" i="39"/>
  <c r="AB25" i="39"/>
  <c r="AD25" i="39"/>
  <c r="AE25" i="39"/>
  <c r="W26" i="39"/>
  <c r="X26" i="39"/>
  <c r="Z26" i="39"/>
  <c r="AB26" i="39"/>
  <c r="AD26" i="39"/>
  <c r="AE26" i="39"/>
  <c r="W27" i="39"/>
  <c r="X27" i="39"/>
  <c r="Z27" i="39"/>
  <c r="AB27" i="39"/>
  <c r="AD27" i="39"/>
  <c r="AE27" i="39"/>
  <c r="W28" i="39"/>
  <c r="X28" i="39"/>
  <c r="Z28" i="39"/>
  <c r="AB28" i="39"/>
  <c r="AD28" i="39"/>
  <c r="AE28" i="39"/>
  <c r="W29" i="39"/>
  <c r="X29" i="39"/>
  <c r="Z29" i="39"/>
  <c r="AB29" i="39"/>
  <c r="AD29" i="39"/>
  <c r="AE29" i="39"/>
  <c r="W30" i="39"/>
  <c r="X30" i="39"/>
  <c r="Z30" i="39"/>
  <c r="AB30" i="39"/>
  <c r="AD30" i="39"/>
  <c r="AE30" i="39"/>
  <c r="W31" i="39"/>
  <c r="X31" i="39"/>
  <c r="Z31" i="39"/>
  <c r="AB31" i="39"/>
  <c r="AD31" i="39"/>
  <c r="AE31" i="39"/>
  <c r="W32" i="39"/>
  <c r="X32" i="39"/>
  <c r="Z32" i="39"/>
  <c r="AB32" i="39"/>
  <c r="AD32" i="39"/>
  <c r="AE32" i="39"/>
  <c r="W33" i="39"/>
  <c r="X33" i="39"/>
  <c r="Z33" i="39"/>
  <c r="AB33" i="39"/>
  <c r="AD33" i="39"/>
  <c r="AE33" i="39"/>
  <c r="W34" i="39"/>
  <c r="X34" i="39"/>
  <c r="Z34" i="39"/>
  <c r="AB34" i="39"/>
  <c r="AD34" i="39"/>
  <c r="AE34" i="39"/>
  <c r="W35" i="39"/>
  <c r="X35" i="39"/>
  <c r="Z35" i="39"/>
  <c r="AB35" i="39"/>
  <c r="AD35" i="39"/>
  <c r="AE35" i="39"/>
  <c r="W36" i="39"/>
  <c r="X36" i="39"/>
  <c r="Z36" i="39"/>
  <c r="AB36" i="39"/>
  <c r="AD36" i="39"/>
  <c r="AE36" i="39"/>
  <c r="W37" i="39"/>
  <c r="X37" i="39"/>
  <c r="Z37" i="39"/>
  <c r="AB37" i="39"/>
  <c r="AD37" i="39"/>
  <c r="AE37" i="39"/>
  <c r="W38" i="39"/>
  <c r="X38" i="39"/>
  <c r="Z38" i="39"/>
  <c r="AB38" i="39"/>
  <c r="AD38" i="39"/>
  <c r="AE38" i="39"/>
  <c r="W39" i="39"/>
  <c r="X39" i="39"/>
  <c r="Z39" i="39"/>
  <c r="AB39" i="39"/>
  <c r="AD39" i="39"/>
  <c r="AE39" i="39"/>
  <c r="W40" i="39"/>
  <c r="X40" i="39"/>
  <c r="Z40" i="39"/>
  <c r="AB40" i="39"/>
  <c r="AD40" i="39"/>
  <c r="AE40" i="39"/>
  <c r="W41" i="39"/>
  <c r="X41" i="39"/>
  <c r="Z41" i="39"/>
  <c r="AB41" i="39"/>
  <c r="AD41" i="39"/>
  <c r="AE41" i="39"/>
  <c r="W42" i="39"/>
  <c r="X42" i="39"/>
  <c r="Z42" i="39"/>
  <c r="AB42" i="39"/>
  <c r="AD42" i="39"/>
  <c r="AE42" i="39"/>
  <c r="W43" i="39"/>
  <c r="X43" i="39"/>
  <c r="Z43" i="39"/>
  <c r="AB43" i="39"/>
  <c r="AD43" i="39"/>
  <c r="AE43" i="39"/>
  <c r="W44" i="39"/>
  <c r="X44" i="39"/>
  <c r="Z44" i="39"/>
  <c r="AB44" i="39"/>
  <c r="AD44" i="39"/>
  <c r="AE44" i="39"/>
  <c r="W45" i="39"/>
  <c r="X45" i="39"/>
  <c r="Z45" i="39"/>
  <c r="AB45" i="39"/>
  <c r="AD45" i="39"/>
  <c r="AE45" i="39"/>
  <c r="W46" i="39"/>
  <c r="X46" i="39"/>
  <c r="Z46" i="39"/>
  <c r="AB46" i="39"/>
  <c r="AD46" i="39"/>
  <c r="AE46" i="39"/>
  <c r="W47" i="39"/>
  <c r="X47" i="39"/>
  <c r="Z47" i="39"/>
  <c r="AB47" i="39"/>
  <c r="AD47" i="39"/>
  <c r="AE47" i="39"/>
  <c r="W48" i="39"/>
  <c r="X48" i="39"/>
  <c r="Z48" i="39"/>
  <c r="AB48" i="39"/>
  <c r="AD48" i="39"/>
  <c r="AE48" i="39"/>
  <c r="W49" i="39"/>
  <c r="X49" i="39"/>
  <c r="Z49" i="39"/>
  <c r="AB49" i="39"/>
  <c r="AD49" i="39"/>
  <c r="AE49" i="39"/>
  <c r="W50" i="39"/>
  <c r="X50" i="39"/>
  <c r="Z50" i="39"/>
  <c r="AB50" i="39"/>
  <c r="AD50" i="39"/>
  <c r="AE50" i="39"/>
  <c r="W51" i="39"/>
  <c r="X51" i="39"/>
  <c r="Z51" i="39"/>
  <c r="AB51" i="39"/>
  <c r="AD51" i="39"/>
  <c r="AE51" i="39"/>
  <c r="W52" i="39"/>
  <c r="X52" i="39"/>
  <c r="Z52" i="39"/>
  <c r="AB52" i="39"/>
  <c r="AD52" i="39"/>
  <c r="AE52" i="39"/>
  <c r="W53" i="39"/>
  <c r="X53" i="39"/>
  <c r="Z53" i="39"/>
  <c r="AB53" i="39"/>
  <c r="AD53" i="39"/>
  <c r="AE53" i="39"/>
  <c r="W54" i="39"/>
  <c r="X54" i="39"/>
  <c r="Z54" i="39"/>
  <c r="AB54" i="39"/>
  <c r="AD54" i="39"/>
  <c r="AE54" i="39"/>
  <c r="W55" i="39"/>
  <c r="X55" i="39"/>
  <c r="Z55" i="39"/>
  <c r="AB55" i="39"/>
  <c r="AD55" i="39"/>
  <c r="AE55" i="39"/>
  <c r="W56" i="39"/>
  <c r="X56" i="39"/>
  <c r="Z56" i="39"/>
  <c r="AB56" i="39"/>
  <c r="AD56" i="39"/>
  <c r="AE56" i="39"/>
  <c r="W57" i="39"/>
  <c r="X57" i="39"/>
  <c r="Z57" i="39"/>
  <c r="AB57" i="39"/>
  <c r="AD57" i="39"/>
  <c r="AE57" i="39"/>
  <c r="W58" i="39"/>
  <c r="X58" i="39"/>
  <c r="Z58" i="39"/>
  <c r="AB58" i="39"/>
  <c r="AD58" i="39"/>
  <c r="AE58" i="39"/>
  <c r="W59" i="39"/>
  <c r="X59" i="39"/>
  <c r="Z59" i="39"/>
  <c r="AB59" i="39"/>
  <c r="AD59" i="39"/>
  <c r="AE59" i="39"/>
  <c r="W60" i="39"/>
  <c r="X60" i="39"/>
  <c r="Z60" i="39"/>
  <c r="AB60" i="39"/>
  <c r="AD60" i="39"/>
  <c r="AE60" i="39"/>
  <c r="W61" i="39"/>
  <c r="X61" i="39"/>
  <c r="Z61" i="39"/>
  <c r="AB61" i="39"/>
  <c r="AD61" i="39"/>
  <c r="AE61" i="39"/>
  <c r="W62" i="39"/>
  <c r="X62" i="39"/>
  <c r="Z62" i="39"/>
  <c r="AB62" i="39"/>
  <c r="AD62" i="39"/>
  <c r="AE62" i="39"/>
  <c r="W63" i="39"/>
  <c r="X63" i="39"/>
  <c r="Z63" i="39"/>
  <c r="AB63" i="39"/>
  <c r="AD63" i="39"/>
  <c r="AE63" i="39"/>
  <c r="W64" i="39"/>
  <c r="X64" i="39"/>
  <c r="Z64" i="39"/>
  <c r="AB64" i="39"/>
  <c r="AD64" i="39"/>
  <c r="AE64" i="39"/>
  <c r="W65" i="39"/>
  <c r="X65" i="39"/>
  <c r="Z65" i="39"/>
  <c r="AB65" i="39"/>
  <c r="AD65" i="39"/>
  <c r="AE65" i="39"/>
  <c r="W66" i="39"/>
  <c r="X66" i="39"/>
  <c r="Z66" i="39"/>
  <c r="AB66" i="39"/>
  <c r="AD66" i="39"/>
  <c r="AE66" i="39"/>
  <c r="W67" i="39"/>
  <c r="X67" i="39"/>
  <c r="Z67" i="39"/>
  <c r="AB67" i="39"/>
  <c r="AD67" i="39"/>
  <c r="AE67" i="39"/>
  <c r="W68" i="39"/>
  <c r="X68" i="39"/>
  <c r="Z68" i="39"/>
  <c r="AB68" i="39"/>
  <c r="AD68" i="39"/>
  <c r="AE68" i="39"/>
  <c r="W69" i="39"/>
  <c r="X69" i="39"/>
  <c r="Z69" i="39"/>
  <c r="AB69" i="39"/>
  <c r="AD69" i="39"/>
  <c r="AE69" i="39"/>
  <c r="W70" i="39"/>
  <c r="X70" i="39"/>
  <c r="Z70" i="39"/>
  <c r="AB70" i="39"/>
  <c r="AD70" i="39"/>
  <c r="AE70" i="39"/>
  <c r="W71" i="39"/>
  <c r="X71" i="39"/>
  <c r="Z71" i="39"/>
  <c r="AB71" i="39"/>
  <c r="AD71" i="39"/>
  <c r="AE71" i="39"/>
  <c r="W72" i="39"/>
  <c r="X72" i="39"/>
  <c r="Z72" i="39"/>
  <c r="AB72" i="39"/>
  <c r="AD72" i="39"/>
  <c r="AE72" i="39"/>
  <c r="W73" i="39"/>
  <c r="X73" i="39"/>
  <c r="Z73" i="39"/>
  <c r="AB73" i="39"/>
  <c r="AD73" i="39"/>
  <c r="AE73" i="39"/>
  <c r="W74" i="39"/>
  <c r="X74" i="39"/>
  <c r="Z74" i="39"/>
  <c r="AB74" i="39"/>
  <c r="AD74" i="39"/>
  <c r="AE74" i="39"/>
  <c r="W75" i="39"/>
  <c r="X75" i="39"/>
  <c r="Z75" i="39"/>
  <c r="AB75" i="39"/>
  <c r="AD75" i="39"/>
  <c r="AE75" i="39"/>
  <c r="W76" i="39"/>
  <c r="X76" i="39"/>
  <c r="Z76" i="39"/>
  <c r="AB76" i="39"/>
  <c r="AD76" i="39"/>
  <c r="AE76" i="39"/>
  <c r="W77" i="39"/>
  <c r="X77" i="39"/>
  <c r="Z77" i="39"/>
  <c r="AB77" i="39"/>
  <c r="AD77" i="39"/>
  <c r="AE77" i="39"/>
  <c r="W78" i="39"/>
  <c r="X78" i="39"/>
  <c r="Z78" i="39"/>
  <c r="AB78" i="39"/>
  <c r="AD78" i="39"/>
  <c r="AE78" i="39"/>
  <c r="W79" i="39"/>
  <c r="X79" i="39"/>
  <c r="Z79" i="39"/>
  <c r="AB79" i="39"/>
  <c r="AD79" i="39"/>
  <c r="AE79" i="39"/>
  <c r="W80" i="39"/>
  <c r="X80" i="39"/>
  <c r="Z80" i="39"/>
  <c r="AB80" i="39"/>
  <c r="AD80" i="39"/>
  <c r="AE80" i="39"/>
  <c r="W81" i="39"/>
  <c r="X81" i="39"/>
  <c r="Z81" i="39"/>
  <c r="AA81" i="39"/>
  <c r="AB81" i="39"/>
  <c r="AD81" i="39"/>
  <c r="AE81" i="39"/>
  <c r="W82" i="39"/>
  <c r="X82" i="39"/>
  <c r="Z82" i="39"/>
  <c r="AA82" i="39"/>
  <c r="AB82" i="39"/>
  <c r="AD82" i="39"/>
  <c r="AE82" i="39"/>
  <c r="W83" i="39"/>
  <c r="X83" i="39"/>
  <c r="Z83" i="39"/>
  <c r="AA83" i="39"/>
  <c r="AB83" i="39"/>
  <c r="AD83" i="39"/>
  <c r="AE83" i="39"/>
  <c r="W84" i="39"/>
  <c r="X84" i="39"/>
  <c r="Z84" i="39"/>
  <c r="AA84" i="39"/>
  <c r="AB84" i="39"/>
  <c r="AD84" i="39"/>
  <c r="AE84" i="39"/>
  <c r="W85" i="39"/>
  <c r="X85" i="39"/>
  <c r="Z85" i="39"/>
  <c r="AA85" i="39"/>
  <c r="AB85" i="39"/>
  <c r="AD85" i="39"/>
  <c r="AE85" i="39"/>
  <c r="W86" i="39"/>
  <c r="X86" i="39"/>
  <c r="Z86" i="39"/>
  <c r="AA86" i="39"/>
  <c r="AB86" i="39"/>
  <c r="AD86" i="39"/>
  <c r="AE86" i="39"/>
  <c r="W87" i="39"/>
  <c r="X87" i="39"/>
  <c r="Z87" i="39"/>
  <c r="AA87" i="39"/>
  <c r="AB87" i="39"/>
  <c r="AD87" i="39"/>
  <c r="AE87" i="39"/>
  <c r="W88" i="39"/>
  <c r="X88" i="39"/>
  <c r="Z88" i="39"/>
  <c r="AA88" i="39"/>
  <c r="AB88" i="39"/>
  <c r="AD88" i="39"/>
  <c r="AE88" i="39"/>
  <c r="W89" i="39"/>
  <c r="X89" i="39"/>
  <c r="Z89" i="39"/>
  <c r="AA89" i="39"/>
  <c r="AB89" i="39"/>
  <c r="AD89" i="39"/>
  <c r="AE89" i="39"/>
  <c r="W90" i="39"/>
  <c r="X90" i="39"/>
  <c r="Z90" i="39"/>
  <c r="AA90" i="39"/>
  <c r="AB90" i="39"/>
  <c r="AD90" i="39"/>
  <c r="AE90" i="39"/>
  <c r="W91" i="39"/>
  <c r="X91" i="39"/>
  <c r="Z91" i="39"/>
  <c r="AA91" i="39"/>
  <c r="AB91" i="39"/>
  <c r="AD91" i="39"/>
  <c r="AE91" i="39"/>
  <c r="W92" i="39"/>
  <c r="X92" i="39"/>
  <c r="Z92" i="39"/>
  <c r="AA92" i="39"/>
  <c r="AB92" i="39"/>
  <c r="AD92" i="39"/>
  <c r="AE92" i="39"/>
  <c r="W93" i="39"/>
  <c r="X93" i="39"/>
  <c r="Z93" i="39"/>
  <c r="AA93" i="39"/>
  <c r="AB93" i="39"/>
  <c r="AD93" i="39"/>
  <c r="AE93" i="39"/>
  <c r="W94" i="39"/>
  <c r="X94" i="39"/>
  <c r="Z94" i="39"/>
  <c r="AA94" i="39"/>
  <c r="AB94" i="39"/>
  <c r="AD94" i="39"/>
  <c r="AE94" i="39"/>
  <c r="W95" i="39"/>
  <c r="X95" i="39"/>
  <c r="Z95" i="39"/>
  <c r="AA95" i="39"/>
  <c r="AB95" i="39"/>
  <c r="AD95" i="39"/>
  <c r="AE95" i="39"/>
  <c r="W96" i="39"/>
  <c r="X96" i="39"/>
  <c r="Z96" i="39"/>
  <c r="AA96" i="39"/>
  <c r="AB96" i="39"/>
  <c r="AD96" i="39"/>
  <c r="AE96" i="39"/>
  <c r="N5" i="39"/>
  <c r="N6" i="39"/>
  <c r="N7" i="39"/>
  <c r="N8" i="39"/>
  <c r="N9" i="39"/>
  <c r="N10" i="39"/>
  <c r="N11" i="39"/>
  <c r="N12" i="39"/>
  <c r="N13" i="39"/>
  <c r="N14" i="39"/>
  <c r="N15" i="39"/>
  <c r="N16" i="39"/>
  <c r="N17" i="39"/>
  <c r="N18" i="39"/>
  <c r="N19" i="39"/>
  <c r="N20" i="39"/>
  <c r="N21" i="39"/>
  <c r="N22" i="39"/>
  <c r="N23" i="39"/>
  <c r="N24" i="39"/>
  <c r="N25" i="39"/>
  <c r="N26" i="39"/>
  <c r="N27" i="39"/>
  <c r="N28" i="39"/>
  <c r="N29" i="39"/>
  <c r="N30" i="39"/>
  <c r="N31" i="39"/>
  <c r="N32" i="39"/>
  <c r="N33" i="39"/>
  <c r="N34" i="39"/>
  <c r="N35" i="39"/>
  <c r="N36" i="39"/>
  <c r="N37" i="39"/>
  <c r="N38" i="39"/>
  <c r="N39" i="39"/>
  <c r="N40" i="39"/>
  <c r="N41" i="39"/>
  <c r="N42" i="39"/>
  <c r="N43" i="39"/>
  <c r="N44" i="39"/>
  <c r="N45" i="39"/>
  <c r="N46" i="39"/>
  <c r="N47" i="39"/>
  <c r="N48" i="39"/>
  <c r="N49" i="39"/>
  <c r="N50" i="39"/>
  <c r="N51" i="39"/>
  <c r="N52" i="39"/>
  <c r="N53" i="39"/>
  <c r="N54" i="39"/>
  <c r="N55" i="39"/>
  <c r="N56" i="39"/>
  <c r="N57" i="39"/>
  <c r="N58" i="39"/>
  <c r="N59" i="39"/>
  <c r="N60" i="39"/>
  <c r="N61" i="39"/>
  <c r="N62" i="39"/>
  <c r="N63" i="39"/>
  <c r="N64" i="39"/>
  <c r="N65" i="39"/>
  <c r="N66" i="39"/>
  <c r="N67" i="39"/>
  <c r="N68" i="39"/>
  <c r="N69" i="39"/>
  <c r="N70" i="39"/>
  <c r="N71" i="39"/>
  <c r="N72" i="39"/>
  <c r="N73" i="39"/>
  <c r="N74" i="39"/>
  <c r="N75" i="39"/>
  <c r="N76" i="39"/>
  <c r="N77" i="39"/>
  <c r="N78" i="39"/>
  <c r="N79" i="39"/>
  <c r="N80" i="39"/>
  <c r="N81" i="39"/>
  <c r="N82" i="39"/>
  <c r="N83" i="39"/>
  <c r="N84" i="39"/>
  <c r="N85" i="39"/>
  <c r="N86" i="39"/>
  <c r="N87" i="39"/>
  <c r="N88" i="39"/>
  <c r="N89" i="39"/>
  <c r="N90" i="39"/>
  <c r="N91" i="39"/>
  <c r="N92" i="39"/>
  <c r="N93" i="39"/>
  <c r="N94" i="39"/>
  <c r="N95" i="39"/>
  <c r="N96" i="39"/>
  <c r="AR92" i="33"/>
  <c r="B54" i="33" s="1"/>
  <c r="AQ92" i="33"/>
  <c r="A54" i="33" s="1"/>
  <c r="AR92" i="32"/>
  <c r="B54" i="32" s="1"/>
  <c r="A54" i="32"/>
  <c r="AR92" i="22"/>
  <c r="B54" i="22" s="1"/>
  <c r="AQ92" i="22"/>
  <c r="A54" i="22" s="1"/>
  <c r="AQ92" i="26"/>
  <c r="A54" i="26" s="1"/>
  <c r="AR92" i="26"/>
  <c r="B54" i="26" s="1"/>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96" i="39"/>
  <c r="D95" i="39"/>
  <c r="D94" i="39"/>
  <c r="D93" i="39"/>
  <c r="D92" i="39"/>
  <c r="D91" i="39"/>
  <c r="D90" i="39"/>
  <c r="D89" i="39"/>
  <c r="D88" i="39"/>
  <c r="D87" i="39"/>
  <c r="D86" i="39"/>
  <c r="D85" i="39"/>
  <c r="D84" i="39"/>
  <c r="D83" i="39"/>
  <c r="D82" i="39"/>
  <c r="D81"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D5" i="39"/>
  <c r="C25" i="33"/>
  <c r="AI21" i="33" s="1"/>
  <c r="AF96" i="39" s="1"/>
  <c r="C24" i="33"/>
  <c r="AI19" i="33" s="1"/>
  <c r="AF94" i="39" s="1"/>
  <c r="C23" i="33"/>
  <c r="AI13" i="33" s="1"/>
  <c r="C22" i="33"/>
  <c r="C17" i="33"/>
  <c r="C16" i="33"/>
  <c r="C15" i="33"/>
  <c r="C14" i="33"/>
  <c r="C13" i="33"/>
  <c r="C12" i="33"/>
  <c r="C11" i="33"/>
  <c r="C10" i="33"/>
  <c r="C9" i="33"/>
  <c r="C8" i="33"/>
  <c r="C7" i="33"/>
  <c r="C6" i="33"/>
  <c r="C25" i="32"/>
  <c r="C24" i="32"/>
  <c r="AI18" i="32" s="1"/>
  <c r="AJ18" i="32" s="1"/>
  <c r="AG79" i="39" s="1"/>
  <c r="C23" i="32"/>
  <c r="AF18" i="32" s="1"/>
  <c r="AC79" i="39" s="1"/>
  <c r="C22" i="32"/>
  <c r="AF17" i="32" s="1"/>
  <c r="AC78" i="39" s="1"/>
  <c r="C17" i="32"/>
  <c r="C16" i="32"/>
  <c r="C15" i="32"/>
  <c r="C14" i="32"/>
  <c r="C13" i="32"/>
  <c r="C12" i="32"/>
  <c r="C11" i="32"/>
  <c r="C10" i="32"/>
  <c r="C9" i="32"/>
  <c r="C8" i="32"/>
  <c r="C7" i="32"/>
  <c r="C6" i="32"/>
  <c r="C25" i="22"/>
  <c r="C24" i="22"/>
  <c r="AI22" i="22" s="1"/>
  <c r="AF53" i="39" s="1"/>
  <c r="C23" i="22"/>
  <c r="AI19" i="22" s="1"/>
  <c r="C22" i="22"/>
  <c r="AI14" i="22" s="1"/>
  <c r="C17" i="22"/>
  <c r="C16" i="22"/>
  <c r="C15" i="22"/>
  <c r="C14" i="22"/>
  <c r="C13" i="22"/>
  <c r="C12" i="22"/>
  <c r="C11" i="22"/>
  <c r="C10" i="22"/>
  <c r="C9" i="22"/>
  <c r="C8" i="22"/>
  <c r="C7" i="22"/>
  <c r="C6" i="22"/>
  <c r="AL21" i="33"/>
  <c r="AM21" i="33" s="1"/>
  <c r="AJ96" i="39" s="1"/>
  <c r="AJ21" i="33"/>
  <c r="AG96" i="39" s="1"/>
  <c r="AB21" i="33"/>
  <c r="Y96" i="39" s="1"/>
  <c r="R21" i="33"/>
  <c r="M96" i="39" s="1"/>
  <c r="Q21" i="33"/>
  <c r="L96" i="39" s="1"/>
  <c r="AL20" i="33"/>
  <c r="AM20" i="33" s="1"/>
  <c r="AJ95" i="39" s="1"/>
  <c r="AJ20" i="33"/>
  <c r="AG95" i="39" s="1"/>
  <c r="AB20" i="33"/>
  <c r="Y95" i="39" s="1"/>
  <c r="R20" i="33"/>
  <c r="M95" i="39" s="1"/>
  <c r="Q20" i="33"/>
  <c r="L95" i="39" s="1"/>
  <c r="AL19" i="33"/>
  <c r="AM19" i="33" s="1"/>
  <c r="AJ94" i="39" s="1"/>
  <c r="AJ19" i="33"/>
  <c r="AG94" i="39" s="1"/>
  <c r="AB19" i="33"/>
  <c r="Y94" i="39" s="1"/>
  <c r="R19" i="33"/>
  <c r="M94" i="39" s="1"/>
  <c r="Q19" i="33"/>
  <c r="L94" i="39" s="1"/>
  <c r="AL18" i="33"/>
  <c r="AM18" i="33" s="1"/>
  <c r="AJ93" i="39" s="1"/>
  <c r="AJ18" i="33"/>
  <c r="AG93" i="39" s="1"/>
  <c r="AB18" i="33"/>
  <c r="Y93" i="39" s="1"/>
  <c r="R18" i="33"/>
  <c r="M93" i="39" s="1"/>
  <c r="Q18" i="33"/>
  <c r="L93" i="39" s="1"/>
  <c r="AL17" i="33"/>
  <c r="AM17" i="33" s="1"/>
  <c r="AJ92" i="39" s="1"/>
  <c r="AJ17" i="33"/>
  <c r="AG92" i="39" s="1"/>
  <c r="AB17" i="33"/>
  <c r="Y92" i="39" s="1"/>
  <c r="R17" i="33"/>
  <c r="M92" i="39" s="1"/>
  <c r="Q17" i="33"/>
  <c r="L92" i="39" s="1"/>
  <c r="AL16" i="33"/>
  <c r="AF16" i="33"/>
  <c r="AC91" i="39" s="1"/>
  <c r="AB16" i="33"/>
  <c r="Y91" i="39" s="1"/>
  <c r="R16" i="33"/>
  <c r="M91" i="39" s="1"/>
  <c r="Q16" i="33"/>
  <c r="L91" i="39" s="1"/>
  <c r="AL15" i="33"/>
  <c r="AM15" i="33" s="1"/>
  <c r="AJ90" i="39" s="1"/>
  <c r="AF15" i="33"/>
  <c r="AC90" i="39" s="1"/>
  <c r="AB15" i="33"/>
  <c r="Y90" i="39" s="1"/>
  <c r="R15" i="33"/>
  <c r="M90" i="39" s="1"/>
  <c r="Q15" i="33"/>
  <c r="L90" i="39" s="1"/>
  <c r="AL14" i="33"/>
  <c r="AJ14" i="33"/>
  <c r="AG89" i="39" s="1"/>
  <c r="AB14" i="33"/>
  <c r="Y89" i="39" s="1"/>
  <c r="R14" i="33"/>
  <c r="M89" i="39" s="1"/>
  <c r="Q14" i="33"/>
  <c r="L89" i="39" s="1"/>
  <c r="AL13" i="33"/>
  <c r="AF13" i="33"/>
  <c r="AC88" i="39" s="1"/>
  <c r="AB13" i="33"/>
  <c r="Y88" i="39" s="1"/>
  <c r="R13" i="33"/>
  <c r="M88" i="39" s="1"/>
  <c r="Q13" i="33"/>
  <c r="L88" i="39" s="1"/>
  <c r="AL12" i="33"/>
  <c r="AF12" i="33"/>
  <c r="AC87" i="39" s="1"/>
  <c r="AB12" i="33"/>
  <c r="Y87" i="39" s="1"/>
  <c r="R12" i="33"/>
  <c r="M87" i="39" s="1"/>
  <c r="Q12" i="33"/>
  <c r="L87" i="39" s="1"/>
  <c r="AN11" i="33"/>
  <c r="AT11" i="33" s="1"/>
  <c r="AS86" i="39" s="1"/>
  <c r="AM11" i="33"/>
  <c r="AJ86" i="39" s="1"/>
  <c r="AL11" i="33"/>
  <c r="AI86" i="39" s="1"/>
  <c r="AK11" i="33"/>
  <c r="AH86" i="39" s="1"/>
  <c r="AJ11" i="33"/>
  <c r="AG86" i="39" s="1"/>
  <c r="AI11" i="33"/>
  <c r="AF86" i="39" s="1"/>
  <c r="AF11" i="33"/>
  <c r="AC86" i="39" s="1"/>
  <c r="AB11" i="33"/>
  <c r="Y86" i="39" s="1"/>
  <c r="R11" i="33"/>
  <c r="M86" i="39" s="1"/>
  <c r="Q11" i="33"/>
  <c r="L86" i="39" s="1"/>
  <c r="AN10" i="33"/>
  <c r="AT10" i="33" s="1"/>
  <c r="AS85" i="39" s="1"/>
  <c r="AM10" i="33"/>
  <c r="AJ85" i="39" s="1"/>
  <c r="AL10" i="33"/>
  <c r="AI85" i="39" s="1"/>
  <c r="AK10" i="33"/>
  <c r="AH85" i="39" s="1"/>
  <c r="AJ10" i="33"/>
  <c r="AG85" i="39" s="1"/>
  <c r="AI10" i="33"/>
  <c r="AF85" i="39" s="1"/>
  <c r="AF10" i="33"/>
  <c r="AC85" i="39" s="1"/>
  <c r="AB10" i="33"/>
  <c r="Y85" i="39" s="1"/>
  <c r="R10" i="33"/>
  <c r="M85" i="39" s="1"/>
  <c r="Q10" i="33"/>
  <c r="L85" i="39" s="1"/>
  <c r="AN9" i="33"/>
  <c r="AM9" i="33"/>
  <c r="AJ84" i="39" s="1"/>
  <c r="AL9" i="33"/>
  <c r="AI84" i="39" s="1"/>
  <c r="AK9" i="33"/>
  <c r="AH84" i="39" s="1"/>
  <c r="AJ9" i="33"/>
  <c r="AG84" i="39" s="1"/>
  <c r="AI9" i="33"/>
  <c r="AF84" i="39" s="1"/>
  <c r="AF9" i="33"/>
  <c r="AC84" i="39" s="1"/>
  <c r="AB9" i="33"/>
  <c r="Y84" i="39" s="1"/>
  <c r="R9" i="33"/>
  <c r="M84" i="39" s="1"/>
  <c r="Q9" i="33"/>
  <c r="L84" i="39" s="1"/>
  <c r="AN8" i="33"/>
  <c r="AT8" i="33" s="1"/>
  <c r="AS83" i="39" s="1"/>
  <c r="AM8" i="33"/>
  <c r="AJ83" i="39" s="1"/>
  <c r="AL8" i="33"/>
  <c r="AI83" i="39" s="1"/>
  <c r="AK8" i="33"/>
  <c r="AH83" i="39" s="1"/>
  <c r="AJ8" i="33"/>
  <c r="AG83" i="39" s="1"/>
  <c r="AI8" i="33"/>
  <c r="AF83" i="39" s="1"/>
  <c r="AF8" i="33"/>
  <c r="AC83" i="39" s="1"/>
  <c r="AB8" i="33"/>
  <c r="Y83" i="39" s="1"/>
  <c r="R8" i="33"/>
  <c r="M83" i="39" s="1"/>
  <c r="Q8" i="33"/>
  <c r="L83" i="39" s="1"/>
  <c r="AN7" i="33"/>
  <c r="AM7" i="33"/>
  <c r="AJ82" i="39" s="1"/>
  <c r="AL7" i="33"/>
  <c r="AI82" i="39" s="1"/>
  <c r="AK7" i="33"/>
  <c r="AH82" i="39" s="1"/>
  <c r="AJ7" i="33"/>
  <c r="AG82" i="39" s="1"/>
  <c r="AI7" i="33"/>
  <c r="AF82" i="39" s="1"/>
  <c r="AF7" i="33"/>
  <c r="AC82" i="39" s="1"/>
  <c r="AB7" i="33"/>
  <c r="Y82" i="39" s="1"/>
  <c r="R7" i="33"/>
  <c r="M82" i="39" s="1"/>
  <c r="Q7" i="33"/>
  <c r="L82" i="39" s="1"/>
  <c r="AN6" i="33"/>
  <c r="AK81" i="39" s="1"/>
  <c r="AM6" i="33"/>
  <c r="AJ81" i="39" s="1"/>
  <c r="AL6" i="33"/>
  <c r="AI81" i="39" s="1"/>
  <c r="AK6" i="33"/>
  <c r="AH81" i="39" s="1"/>
  <c r="AJ6" i="33"/>
  <c r="AG81" i="39" s="1"/>
  <c r="AI6" i="33"/>
  <c r="AF81" i="39" s="1"/>
  <c r="AF6" i="33"/>
  <c r="AC81" i="39" s="1"/>
  <c r="AB6" i="33"/>
  <c r="Y81" i="39" s="1"/>
  <c r="R6" i="33"/>
  <c r="M81" i="39" s="1"/>
  <c r="Q6" i="33"/>
  <c r="L81" i="39" s="1"/>
  <c r="AL19" i="32"/>
  <c r="AM19" i="32" s="1"/>
  <c r="AJ80" i="39" s="1"/>
  <c r="AB19" i="32"/>
  <c r="AD19" i="32" s="1"/>
  <c r="AA80" i="39" s="1"/>
  <c r="R19" i="32"/>
  <c r="M80" i="39" s="1"/>
  <c r="Q19" i="32"/>
  <c r="L80" i="39" s="1"/>
  <c r="AL18" i="32"/>
  <c r="AM18" i="32" s="1"/>
  <c r="AJ79" i="39" s="1"/>
  <c r="AB18" i="32"/>
  <c r="AD18" i="32" s="1"/>
  <c r="AA79" i="39" s="1"/>
  <c r="R18" i="32"/>
  <c r="M79" i="39" s="1"/>
  <c r="Q18" i="32"/>
  <c r="L79" i="39" s="1"/>
  <c r="AL17" i="32"/>
  <c r="AJ17" i="32"/>
  <c r="AG78" i="39" s="1"/>
  <c r="AB17" i="32"/>
  <c r="R17" i="32"/>
  <c r="M78" i="39" s="1"/>
  <c r="Q17" i="32"/>
  <c r="L78" i="39" s="1"/>
  <c r="AL16" i="32"/>
  <c r="AF16" i="32"/>
  <c r="AC77" i="39" s="1"/>
  <c r="AB16" i="32"/>
  <c r="AD16" i="32" s="1"/>
  <c r="AA77" i="39" s="1"/>
  <c r="R16" i="32"/>
  <c r="M77" i="39" s="1"/>
  <c r="Q16" i="32"/>
  <c r="L77" i="39" s="1"/>
  <c r="AL15" i="32"/>
  <c r="AF15" i="32"/>
  <c r="AC76" i="39" s="1"/>
  <c r="AB15" i="32"/>
  <c r="R15" i="32"/>
  <c r="M76" i="39" s="1"/>
  <c r="Q15" i="32"/>
  <c r="L76" i="39" s="1"/>
  <c r="AL14" i="32"/>
  <c r="AJ14" i="32"/>
  <c r="AG75" i="39" s="1"/>
  <c r="AB14" i="32"/>
  <c r="R14" i="32"/>
  <c r="M75" i="39" s="1"/>
  <c r="Q14" i="32"/>
  <c r="L75" i="39" s="1"/>
  <c r="AL13" i="32"/>
  <c r="AM13" i="32" s="1"/>
  <c r="AJ74" i="39" s="1"/>
  <c r="AF13" i="32"/>
  <c r="AC74" i="39" s="1"/>
  <c r="AB13" i="32"/>
  <c r="R13" i="32"/>
  <c r="M74" i="39" s="1"/>
  <c r="Q13" i="32"/>
  <c r="L74" i="39" s="1"/>
  <c r="AL12" i="32"/>
  <c r="AM12" i="32" s="1"/>
  <c r="AJ73" i="39" s="1"/>
  <c r="AF12" i="32"/>
  <c r="AC73" i="39" s="1"/>
  <c r="AB12" i="32"/>
  <c r="R12" i="32"/>
  <c r="M73" i="39" s="1"/>
  <c r="Q12" i="32"/>
  <c r="L73" i="39" s="1"/>
  <c r="AN11" i="32"/>
  <c r="AT11" i="32" s="1"/>
  <c r="AS72" i="39" s="1"/>
  <c r="AM11" i="32"/>
  <c r="AJ72" i="39" s="1"/>
  <c r="AL11" i="32"/>
  <c r="AI72" i="39" s="1"/>
  <c r="AK11" i="32"/>
  <c r="AH72" i="39" s="1"/>
  <c r="AJ11" i="32"/>
  <c r="AG72" i="39" s="1"/>
  <c r="AI11" i="32"/>
  <c r="AF72" i="39" s="1"/>
  <c r="AF11" i="32"/>
  <c r="AC72" i="39" s="1"/>
  <c r="AB11" i="32"/>
  <c r="R11" i="32"/>
  <c r="M72" i="39" s="1"/>
  <c r="Q11" i="32"/>
  <c r="L72" i="39" s="1"/>
  <c r="AN10" i="32"/>
  <c r="AM10" i="32"/>
  <c r="AJ71" i="39" s="1"/>
  <c r="AL10" i="32"/>
  <c r="AI71" i="39" s="1"/>
  <c r="AK10" i="32"/>
  <c r="AH71" i="39" s="1"/>
  <c r="AJ10" i="32"/>
  <c r="AG71" i="39" s="1"/>
  <c r="AI10" i="32"/>
  <c r="AF71" i="39" s="1"/>
  <c r="AF10" i="32"/>
  <c r="AC71" i="39" s="1"/>
  <c r="AB10" i="32"/>
  <c r="AD10" i="32" s="1"/>
  <c r="AA71" i="39" s="1"/>
  <c r="R10" i="32"/>
  <c r="M71" i="39" s="1"/>
  <c r="Q10" i="32"/>
  <c r="L71" i="39" s="1"/>
  <c r="AN9" i="32"/>
  <c r="AM9" i="32"/>
  <c r="AJ70" i="39" s="1"/>
  <c r="AL9" i="32"/>
  <c r="AI70" i="39" s="1"/>
  <c r="AK9" i="32"/>
  <c r="AH70" i="39" s="1"/>
  <c r="AJ9" i="32"/>
  <c r="AG70" i="39" s="1"/>
  <c r="AI9" i="32"/>
  <c r="AF70" i="39" s="1"/>
  <c r="AF9" i="32"/>
  <c r="AC70" i="39" s="1"/>
  <c r="AB9" i="32"/>
  <c r="AD9" i="32" s="1"/>
  <c r="AA70" i="39" s="1"/>
  <c r="R9" i="32"/>
  <c r="M70" i="39" s="1"/>
  <c r="Q9" i="32"/>
  <c r="L70" i="39" s="1"/>
  <c r="AN8" i="32"/>
  <c r="AM8" i="32"/>
  <c r="AJ69" i="39" s="1"/>
  <c r="AL8" i="32"/>
  <c r="AI69" i="39" s="1"/>
  <c r="AK8" i="32"/>
  <c r="AH69" i="39" s="1"/>
  <c r="AJ8" i="32"/>
  <c r="AG69" i="39" s="1"/>
  <c r="AI8" i="32"/>
  <c r="AF69" i="39" s="1"/>
  <c r="AF8" i="32"/>
  <c r="AC69" i="39" s="1"/>
  <c r="AB8" i="32"/>
  <c r="R8" i="32"/>
  <c r="M69" i="39" s="1"/>
  <c r="Q8" i="32"/>
  <c r="L69" i="39" s="1"/>
  <c r="AN7" i="32"/>
  <c r="AM7" i="32"/>
  <c r="AJ68" i="39" s="1"/>
  <c r="AL7" i="32"/>
  <c r="AI68" i="39" s="1"/>
  <c r="AK7" i="32"/>
  <c r="AH68" i="39" s="1"/>
  <c r="AJ7" i="32"/>
  <c r="AG68" i="39" s="1"/>
  <c r="AI7" i="32"/>
  <c r="AF68" i="39" s="1"/>
  <c r="AF7" i="32"/>
  <c r="AC68" i="39" s="1"/>
  <c r="AB7" i="32"/>
  <c r="AD7" i="32" s="1"/>
  <c r="AA68" i="39" s="1"/>
  <c r="R7" i="32"/>
  <c r="M68" i="39" s="1"/>
  <c r="Q7" i="32"/>
  <c r="L68" i="39" s="1"/>
  <c r="AN6" i="32"/>
  <c r="AM6" i="32"/>
  <c r="AJ67" i="39" s="1"/>
  <c r="AL6" i="32"/>
  <c r="AI67" i="39" s="1"/>
  <c r="AK6" i="32"/>
  <c r="AH67" i="39" s="1"/>
  <c r="AJ6" i="32"/>
  <c r="AG67" i="39" s="1"/>
  <c r="AI6" i="32"/>
  <c r="AF67" i="39" s="1"/>
  <c r="AF6" i="32"/>
  <c r="AC67" i="39" s="1"/>
  <c r="AB6" i="32"/>
  <c r="AD6" i="32" s="1"/>
  <c r="AA67" i="39" s="1"/>
  <c r="R6" i="32"/>
  <c r="M67" i="39" s="1"/>
  <c r="Q6" i="32"/>
  <c r="L67" i="39" s="1"/>
  <c r="AL35" i="22"/>
  <c r="AB35" i="22"/>
  <c r="R35" i="22"/>
  <c r="M66" i="39" s="1"/>
  <c r="Q35" i="22"/>
  <c r="L66" i="39" s="1"/>
  <c r="AL34" i="22"/>
  <c r="AB34" i="22"/>
  <c r="R34" i="22"/>
  <c r="M65" i="39" s="1"/>
  <c r="Q34" i="22"/>
  <c r="L65" i="39" s="1"/>
  <c r="AL33" i="22"/>
  <c r="AJ33" i="22"/>
  <c r="AG64" i="39" s="1"/>
  <c r="AB33" i="22"/>
  <c r="R33" i="22"/>
  <c r="M64" i="39" s="1"/>
  <c r="Q33" i="22"/>
  <c r="L64" i="39" s="1"/>
  <c r="AL32" i="22"/>
  <c r="AJ32" i="22"/>
  <c r="AG63" i="39" s="1"/>
  <c r="AB32" i="22"/>
  <c r="R32" i="22"/>
  <c r="M63" i="39" s="1"/>
  <c r="Q32" i="22"/>
  <c r="L63" i="39" s="1"/>
  <c r="AL31" i="22"/>
  <c r="AJ31" i="22"/>
  <c r="AG62" i="39" s="1"/>
  <c r="AB31" i="22"/>
  <c r="R31" i="22"/>
  <c r="M62" i="39" s="1"/>
  <c r="Q31" i="22"/>
  <c r="L62" i="39" s="1"/>
  <c r="AL30" i="22"/>
  <c r="AJ30" i="22"/>
  <c r="AG61" i="39" s="1"/>
  <c r="AB30" i="22"/>
  <c r="R30" i="22"/>
  <c r="M61" i="39" s="1"/>
  <c r="Q30" i="22"/>
  <c r="L61" i="39" s="1"/>
  <c r="AL29" i="22"/>
  <c r="AB29" i="22"/>
  <c r="R29" i="22"/>
  <c r="M60" i="39" s="1"/>
  <c r="Q29" i="22"/>
  <c r="L60" i="39" s="1"/>
  <c r="AL28" i="22"/>
  <c r="AB28" i="22"/>
  <c r="R28" i="22"/>
  <c r="M59" i="39" s="1"/>
  <c r="Q28" i="22"/>
  <c r="L59" i="39" s="1"/>
  <c r="AL27" i="22"/>
  <c r="AB27" i="22"/>
  <c r="R27" i="22"/>
  <c r="M58" i="39" s="1"/>
  <c r="Q27" i="22"/>
  <c r="L58" i="39" s="1"/>
  <c r="AL26" i="22"/>
  <c r="AB26" i="22"/>
  <c r="R26" i="22"/>
  <c r="M57" i="39" s="1"/>
  <c r="Q26" i="22"/>
  <c r="L57" i="39" s="1"/>
  <c r="AL25" i="22"/>
  <c r="AJ25" i="22"/>
  <c r="AG56" i="39" s="1"/>
  <c r="AB25" i="22"/>
  <c r="R25" i="22"/>
  <c r="M56" i="39" s="1"/>
  <c r="Q25" i="22"/>
  <c r="L56" i="39" s="1"/>
  <c r="AL24" i="22"/>
  <c r="AJ24" i="22"/>
  <c r="AG55" i="39" s="1"/>
  <c r="AB24" i="22"/>
  <c r="R24" i="22"/>
  <c r="M55" i="39" s="1"/>
  <c r="Q24" i="22"/>
  <c r="L55" i="39" s="1"/>
  <c r="AL23" i="22"/>
  <c r="AJ23" i="22"/>
  <c r="AG54" i="39" s="1"/>
  <c r="AB23" i="22"/>
  <c r="R23" i="22"/>
  <c r="M54" i="39" s="1"/>
  <c r="Q23" i="22"/>
  <c r="L54" i="39" s="1"/>
  <c r="AL22" i="22"/>
  <c r="AJ22" i="22"/>
  <c r="AG53" i="39" s="1"/>
  <c r="AB22" i="22"/>
  <c r="R22" i="22"/>
  <c r="M53" i="39" s="1"/>
  <c r="Q22" i="22"/>
  <c r="L53" i="39" s="1"/>
  <c r="AL21" i="22"/>
  <c r="AJ21" i="22"/>
  <c r="AG52" i="39" s="1"/>
  <c r="AB21" i="22"/>
  <c r="R21" i="22"/>
  <c r="M52" i="39" s="1"/>
  <c r="Q21" i="22"/>
  <c r="L52" i="39" s="1"/>
  <c r="AL20" i="22"/>
  <c r="AJ20" i="22"/>
  <c r="AG51" i="39" s="1"/>
  <c r="AB20" i="22"/>
  <c r="R20" i="22"/>
  <c r="M51" i="39" s="1"/>
  <c r="Q20" i="22"/>
  <c r="L51" i="39" s="1"/>
  <c r="AL19" i="22"/>
  <c r="AB19" i="22"/>
  <c r="R19" i="22"/>
  <c r="M50" i="39" s="1"/>
  <c r="Q19" i="22"/>
  <c r="L50" i="39" s="1"/>
  <c r="AL18" i="22"/>
  <c r="AF18" i="22"/>
  <c r="AC49" i="39" s="1"/>
  <c r="AB18" i="22"/>
  <c r="R18" i="22"/>
  <c r="M49" i="39" s="1"/>
  <c r="Q18" i="22"/>
  <c r="L49" i="39" s="1"/>
  <c r="AL17" i="22"/>
  <c r="AJ17" i="22"/>
  <c r="AG48" i="39" s="1"/>
  <c r="AB17" i="22"/>
  <c r="R17" i="22"/>
  <c r="M48" i="39" s="1"/>
  <c r="Q17" i="22"/>
  <c r="L48" i="39" s="1"/>
  <c r="AL16" i="22"/>
  <c r="AJ16" i="22"/>
  <c r="AG47" i="39" s="1"/>
  <c r="AB16" i="22"/>
  <c r="R16" i="22"/>
  <c r="M47" i="39" s="1"/>
  <c r="Q16" i="22"/>
  <c r="L47" i="39" s="1"/>
  <c r="AL15" i="22"/>
  <c r="AB15" i="22"/>
  <c r="R15" i="22"/>
  <c r="M46" i="39" s="1"/>
  <c r="Q15" i="22"/>
  <c r="L46" i="39" s="1"/>
  <c r="AL14" i="22"/>
  <c r="AF14" i="22"/>
  <c r="AC45" i="39" s="1"/>
  <c r="AB14" i="22"/>
  <c r="R14" i="22"/>
  <c r="M45" i="39" s="1"/>
  <c r="Q14" i="22"/>
  <c r="L45" i="39" s="1"/>
  <c r="AN13" i="22"/>
  <c r="AM13" i="22"/>
  <c r="AJ44" i="39" s="1"/>
  <c r="AL13" i="22"/>
  <c r="AI44" i="39" s="1"/>
  <c r="AK13" i="22"/>
  <c r="AH44" i="39" s="1"/>
  <c r="AJ13" i="22"/>
  <c r="AG44" i="39" s="1"/>
  <c r="AI13" i="22"/>
  <c r="AF44" i="39" s="1"/>
  <c r="AF13" i="22"/>
  <c r="AC44" i="39" s="1"/>
  <c r="AB13" i="22"/>
  <c r="R13" i="22"/>
  <c r="M44" i="39" s="1"/>
  <c r="Q13" i="22"/>
  <c r="L44" i="39" s="1"/>
  <c r="AN12" i="22"/>
  <c r="AM12" i="22"/>
  <c r="AJ43" i="39" s="1"/>
  <c r="AL12" i="22"/>
  <c r="AI43" i="39" s="1"/>
  <c r="AK12" i="22"/>
  <c r="AH43" i="39" s="1"/>
  <c r="AJ12" i="22"/>
  <c r="AG43" i="39" s="1"/>
  <c r="AI12" i="22"/>
  <c r="AF43" i="39" s="1"/>
  <c r="AF12" i="22"/>
  <c r="AC43" i="39" s="1"/>
  <c r="AB12" i="22"/>
  <c r="R12" i="22"/>
  <c r="M43" i="39" s="1"/>
  <c r="Q12" i="22"/>
  <c r="L43" i="39" s="1"/>
  <c r="AN11" i="22"/>
  <c r="AM11" i="22"/>
  <c r="AJ42" i="39" s="1"/>
  <c r="AL11" i="22"/>
  <c r="AI42" i="39" s="1"/>
  <c r="AK11" i="22"/>
  <c r="AH42" i="39" s="1"/>
  <c r="AJ11" i="22"/>
  <c r="AG42" i="39" s="1"/>
  <c r="AI11" i="22"/>
  <c r="AF42" i="39" s="1"/>
  <c r="AF11" i="22"/>
  <c r="AC42" i="39" s="1"/>
  <c r="AB11" i="22"/>
  <c r="R11" i="22"/>
  <c r="M42" i="39" s="1"/>
  <c r="Q11" i="22"/>
  <c r="L42" i="39" s="1"/>
  <c r="AN10" i="22"/>
  <c r="AM10" i="22"/>
  <c r="AJ41" i="39" s="1"/>
  <c r="AL10" i="22"/>
  <c r="AI41" i="39" s="1"/>
  <c r="AK10" i="22"/>
  <c r="AH41" i="39" s="1"/>
  <c r="AJ10" i="22"/>
  <c r="AG41" i="39" s="1"/>
  <c r="AI10" i="22"/>
  <c r="AF41" i="39" s="1"/>
  <c r="AF10" i="22"/>
  <c r="AC41" i="39" s="1"/>
  <c r="AB10" i="22"/>
  <c r="R10" i="22"/>
  <c r="M41" i="39" s="1"/>
  <c r="Q10" i="22"/>
  <c r="L41" i="39" s="1"/>
  <c r="AN9" i="22"/>
  <c r="AM9" i="22"/>
  <c r="AJ40" i="39" s="1"/>
  <c r="AL9" i="22"/>
  <c r="AI40" i="39" s="1"/>
  <c r="AK9" i="22"/>
  <c r="AH40" i="39" s="1"/>
  <c r="AJ9" i="22"/>
  <c r="AG40" i="39" s="1"/>
  <c r="AI9" i="22"/>
  <c r="AF40" i="39" s="1"/>
  <c r="AF9" i="22"/>
  <c r="AC40" i="39" s="1"/>
  <c r="AB9" i="22"/>
  <c r="R9" i="22"/>
  <c r="M40" i="39" s="1"/>
  <c r="Q9" i="22"/>
  <c r="L40" i="39" s="1"/>
  <c r="AN8" i="22"/>
  <c r="AM8" i="22"/>
  <c r="AJ39" i="39" s="1"/>
  <c r="AL8" i="22"/>
  <c r="AI39" i="39" s="1"/>
  <c r="AK8" i="22"/>
  <c r="AH39" i="39" s="1"/>
  <c r="AJ8" i="22"/>
  <c r="AG39" i="39" s="1"/>
  <c r="AI8" i="22"/>
  <c r="AF39" i="39" s="1"/>
  <c r="AF8" i="22"/>
  <c r="AC39" i="39" s="1"/>
  <c r="AB8" i="22"/>
  <c r="R8" i="22"/>
  <c r="M39" i="39" s="1"/>
  <c r="Q8" i="22"/>
  <c r="L39" i="39" s="1"/>
  <c r="AN7" i="22"/>
  <c r="AM7" i="22"/>
  <c r="AJ38" i="39" s="1"/>
  <c r="AL7" i="22"/>
  <c r="AI38" i="39" s="1"/>
  <c r="AK7" i="22"/>
  <c r="AH38" i="39" s="1"/>
  <c r="AJ7" i="22"/>
  <c r="AG38" i="39" s="1"/>
  <c r="AI7" i="22"/>
  <c r="AF38" i="39" s="1"/>
  <c r="AF7" i="22"/>
  <c r="AC38" i="39" s="1"/>
  <c r="AB7" i="22"/>
  <c r="R7" i="22"/>
  <c r="M38" i="39" s="1"/>
  <c r="Q7" i="22"/>
  <c r="L38" i="39" s="1"/>
  <c r="AN6" i="22"/>
  <c r="AM6" i="22"/>
  <c r="AJ37" i="39" s="1"/>
  <c r="AL6" i="22"/>
  <c r="AI37" i="39" s="1"/>
  <c r="AK6" i="22"/>
  <c r="AH37" i="39" s="1"/>
  <c r="AJ6" i="22"/>
  <c r="AG37" i="39" s="1"/>
  <c r="AI6" i="22"/>
  <c r="AF37" i="39" s="1"/>
  <c r="AF6" i="22"/>
  <c r="AC37" i="39" s="1"/>
  <c r="AB6" i="22"/>
  <c r="R6" i="22"/>
  <c r="M37" i="39" s="1"/>
  <c r="Q6" i="22"/>
  <c r="L37" i="39" s="1"/>
  <c r="AL37" i="26"/>
  <c r="AJ37" i="26"/>
  <c r="AG36" i="39" s="1"/>
  <c r="AB37" i="26"/>
  <c r="Q37" i="26"/>
  <c r="L36" i="39" s="1"/>
  <c r="AL36" i="26"/>
  <c r="AJ36" i="26"/>
  <c r="AG35" i="39" s="1"/>
  <c r="AB36" i="26"/>
  <c r="Q36" i="26"/>
  <c r="L35" i="39" s="1"/>
  <c r="AL35" i="26"/>
  <c r="AJ35" i="26"/>
  <c r="AG34" i="39" s="1"/>
  <c r="AB35" i="26"/>
  <c r="Q35" i="26"/>
  <c r="L34" i="39" s="1"/>
  <c r="AL34" i="26"/>
  <c r="AJ34" i="26"/>
  <c r="AG33" i="39" s="1"/>
  <c r="AB34" i="26"/>
  <c r="Q34" i="26"/>
  <c r="L33" i="39" s="1"/>
  <c r="AL33" i="26"/>
  <c r="AB33" i="26"/>
  <c r="Q33" i="26"/>
  <c r="L32" i="39" s="1"/>
  <c r="AL32" i="26"/>
  <c r="AJ32" i="26"/>
  <c r="AG31" i="39" s="1"/>
  <c r="AB32" i="26"/>
  <c r="Q32" i="26"/>
  <c r="L31" i="39" s="1"/>
  <c r="AL31" i="26"/>
  <c r="AB31" i="26"/>
  <c r="Q31" i="26"/>
  <c r="L30" i="39" s="1"/>
  <c r="AL30" i="26"/>
  <c r="AB30" i="26"/>
  <c r="Q30" i="26"/>
  <c r="L29" i="39" s="1"/>
  <c r="AL29" i="26"/>
  <c r="AB29" i="26"/>
  <c r="Q29" i="26"/>
  <c r="L28" i="39" s="1"/>
  <c r="AL28" i="26"/>
  <c r="AJ28" i="26"/>
  <c r="AG27" i="39" s="1"/>
  <c r="AB28" i="26"/>
  <c r="Q28" i="26"/>
  <c r="L27" i="39" s="1"/>
  <c r="AL27" i="26"/>
  <c r="AB27" i="26"/>
  <c r="Q27" i="26"/>
  <c r="L26" i="39" s="1"/>
  <c r="AL26" i="26"/>
  <c r="AB26" i="26"/>
  <c r="Q26" i="26"/>
  <c r="L25" i="39" s="1"/>
  <c r="AL25" i="26"/>
  <c r="AJ25" i="26"/>
  <c r="AG24" i="39" s="1"/>
  <c r="AB25" i="26"/>
  <c r="Q25" i="26"/>
  <c r="L24" i="39" s="1"/>
  <c r="AL24" i="26"/>
  <c r="AJ24" i="26"/>
  <c r="AG23" i="39" s="1"/>
  <c r="AB24" i="26"/>
  <c r="Q24" i="26"/>
  <c r="L23" i="39" s="1"/>
  <c r="AL23" i="26"/>
  <c r="AJ23" i="26"/>
  <c r="AG22" i="39" s="1"/>
  <c r="AB23" i="26"/>
  <c r="Q23" i="26"/>
  <c r="L22" i="39" s="1"/>
  <c r="AL22" i="26"/>
  <c r="AJ22" i="26"/>
  <c r="AG21" i="39" s="1"/>
  <c r="AB22" i="26"/>
  <c r="Q22" i="26"/>
  <c r="L21" i="39" s="1"/>
  <c r="AL21" i="26"/>
  <c r="AJ21" i="26"/>
  <c r="AG20" i="39" s="1"/>
  <c r="AB21" i="26"/>
  <c r="Q21" i="26"/>
  <c r="L20" i="39" s="1"/>
  <c r="AL20" i="26"/>
  <c r="AJ20" i="26"/>
  <c r="AG19" i="39" s="1"/>
  <c r="AB20" i="26"/>
  <c r="Q20" i="26"/>
  <c r="L19" i="39" s="1"/>
  <c r="AL19" i="26"/>
  <c r="AF19" i="26"/>
  <c r="AC18" i="39" s="1"/>
  <c r="AB19" i="26"/>
  <c r="Q19" i="26"/>
  <c r="L18" i="39" s="1"/>
  <c r="AL18" i="26"/>
  <c r="AB18" i="26"/>
  <c r="Q18" i="26"/>
  <c r="L17" i="39" s="1"/>
  <c r="AL17" i="26"/>
  <c r="AJ17" i="26"/>
  <c r="AG16" i="39" s="1"/>
  <c r="AB17" i="26"/>
  <c r="Q17" i="26"/>
  <c r="L16" i="39" s="1"/>
  <c r="AL16" i="26"/>
  <c r="AJ16" i="26"/>
  <c r="AG15" i="39" s="1"/>
  <c r="AB16" i="26"/>
  <c r="R16" i="26"/>
  <c r="M15" i="39" s="1"/>
  <c r="Q16" i="26"/>
  <c r="L15" i="39" s="1"/>
  <c r="AL15" i="26"/>
  <c r="AF15" i="26"/>
  <c r="AC14" i="39" s="1"/>
  <c r="AB15" i="26"/>
  <c r="R15" i="26"/>
  <c r="M14" i="39" s="1"/>
  <c r="Q15" i="26"/>
  <c r="L14" i="39" s="1"/>
  <c r="AL14" i="26"/>
  <c r="AB14" i="26"/>
  <c r="R14" i="26"/>
  <c r="M13" i="39" s="1"/>
  <c r="Q14" i="26"/>
  <c r="L13" i="39" s="1"/>
  <c r="AN13" i="26"/>
  <c r="AM13" i="26"/>
  <c r="AJ12" i="39" s="1"/>
  <c r="AL13" i="26"/>
  <c r="AI12" i="39" s="1"/>
  <c r="AK13" i="26"/>
  <c r="AH12" i="39" s="1"/>
  <c r="AJ13" i="26"/>
  <c r="AG12" i="39" s="1"/>
  <c r="AB13" i="26"/>
  <c r="R13" i="26"/>
  <c r="M12" i="39" s="1"/>
  <c r="Q13" i="26"/>
  <c r="L12" i="39" s="1"/>
  <c r="AN12" i="26"/>
  <c r="AM12" i="26"/>
  <c r="AJ11" i="39" s="1"/>
  <c r="AL12" i="26"/>
  <c r="AI11" i="39" s="1"/>
  <c r="AK12" i="26"/>
  <c r="AH11" i="39" s="1"/>
  <c r="AJ12" i="26"/>
  <c r="AG11" i="39" s="1"/>
  <c r="AB12" i="26"/>
  <c r="R12" i="26"/>
  <c r="M11" i="39" s="1"/>
  <c r="Q12" i="26"/>
  <c r="L11" i="39" s="1"/>
  <c r="AN11" i="26"/>
  <c r="AM11" i="26"/>
  <c r="AJ10" i="39" s="1"/>
  <c r="AL11" i="26"/>
  <c r="AI10" i="39" s="1"/>
  <c r="AK11" i="26"/>
  <c r="AH10" i="39" s="1"/>
  <c r="AJ11" i="26"/>
  <c r="AG10" i="39" s="1"/>
  <c r="AB11" i="26"/>
  <c r="R11" i="26"/>
  <c r="M10" i="39" s="1"/>
  <c r="Q11" i="26"/>
  <c r="L10" i="39" s="1"/>
  <c r="AN10" i="26"/>
  <c r="AM10" i="26"/>
  <c r="AJ9" i="39" s="1"/>
  <c r="AL10" i="26"/>
  <c r="AI9" i="39" s="1"/>
  <c r="AK10" i="26"/>
  <c r="AH9" i="39" s="1"/>
  <c r="AJ10" i="26"/>
  <c r="AG9" i="39" s="1"/>
  <c r="AB10" i="26"/>
  <c r="R10" i="26"/>
  <c r="M9" i="39" s="1"/>
  <c r="Q10" i="26"/>
  <c r="L9" i="39" s="1"/>
  <c r="AN9" i="26"/>
  <c r="AM9" i="26"/>
  <c r="AJ8" i="39" s="1"/>
  <c r="AL9" i="26"/>
  <c r="AI8" i="39" s="1"/>
  <c r="AK9" i="26"/>
  <c r="AH8" i="39" s="1"/>
  <c r="AJ9" i="26"/>
  <c r="AG8" i="39" s="1"/>
  <c r="AB9" i="26"/>
  <c r="R9" i="26"/>
  <c r="M8" i="39" s="1"/>
  <c r="Q9" i="26"/>
  <c r="L8" i="39" s="1"/>
  <c r="AN8" i="26"/>
  <c r="AM8" i="26"/>
  <c r="AJ7" i="39" s="1"/>
  <c r="AL8" i="26"/>
  <c r="AI7" i="39" s="1"/>
  <c r="AK8" i="26"/>
  <c r="AH7" i="39" s="1"/>
  <c r="AJ8" i="26"/>
  <c r="AG7" i="39" s="1"/>
  <c r="AB8" i="26"/>
  <c r="R8" i="26"/>
  <c r="M7" i="39" s="1"/>
  <c r="Q8" i="26"/>
  <c r="L7" i="39" s="1"/>
  <c r="AN7" i="26"/>
  <c r="AM7" i="26"/>
  <c r="AJ6" i="39" s="1"/>
  <c r="AL7" i="26"/>
  <c r="AI6" i="39" s="1"/>
  <c r="AK7" i="26"/>
  <c r="AH6" i="39" s="1"/>
  <c r="AJ7" i="26"/>
  <c r="AG6" i="39" s="1"/>
  <c r="AB7" i="26"/>
  <c r="R7" i="26"/>
  <c r="M6" i="39" s="1"/>
  <c r="Q7" i="26"/>
  <c r="L6" i="39" s="1"/>
  <c r="AN6" i="26"/>
  <c r="AK5" i="39" s="1"/>
  <c r="AM6" i="26"/>
  <c r="AJ5" i="39" s="1"/>
  <c r="AL6" i="26"/>
  <c r="AI5" i="39" s="1"/>
  <c r="AK6" i="26"/>
  <c r="AH5" i="39" s="1"/>
  <c r="AB6" i="26"/>
  <c r="R6" i="26"/>
  <c r="M5" i="39" s="1"/>
  <c r="Q6" i="26"/>
  <c r="L5" i="39" s="1"/>
  <c r="K26" i="44" a="1"/>
  <c r="E24" i="44" a="1"/>
  <c r="G26" i="44" a="1"/>
  <c r="D16" i="44" a="1"/>
  <c r="BL37" i="44" a="1"/>
  <c r="C26" i="44" a="1"/>
  <c r="C25" i="44" a="1"/>
  <c r="K25" i="44" a="1"/>
  <c r="K27" i="44" a="1"/>
  <c r="G24" i="44" a="1"/>
  <c r="G25" i="44" a="1"/>
  <c r="D17" i="44" a="1"/>
  <c r="BL34" i="44" a="1"/>
  <c r="D15" i="44" a="1"/>
  <c r="F24" i="44" a="1"/>
  <c r="D14" i="44" a="1"/>
  <c r="K24" i="44" a="1"/>
  <c r="BL35" i="44" a="1"/>
  <c r="G27" i="44" a="1"/>
  <c r="C27" i="44" a="1"/>
  <c r="D24" i="44" a="1"/>
  <c r="BL36" i="44" a="1"/>
  <c r="C24" i="44" a="1"/>
  <c r="BL36" i="44" l="1"/>
  <c r="BL35" i="44"/>
  <c r="BL34" i="44"/>
  <c r="BL37" i="44"/>
  <c r="AI90" i="39"/>
  <c r="Y79" i="39"/>
  <c r="AI96" i="39"/>
  <c r="AI93" i="39"/>
  <c r="AI73" i="39"/>
  <c r="AF79" i="39"/>
  <c r="Y71" i="39"/>
  <c r="Y77" i="39"/>
  <c r="AD20" i="26"/>
  <c r="AA19" i="39" s="1"/>
  <c r="Y19" i="39"/>
  <c r="AM28" i="26"/>
  <c r="AJ27" i="39" s="1"/>
  <c r="AI27" i="39"/>
  <c r="AT7" i="32"/>
  <c r="AS68" i="39" s="1"/>
  <c r="AK68" i="39"/>
  <c r="AD13" i="32"/>
  <c r="AA74" i="39" s="1"/>
  <c r="Y74" i="39"/>
  <c r="AI79" i="39"/>
  <c r="AK72" i="39"/>
  <c r="AT7" i="26"/>
  <c r="AS6" i="39" s="1"/>
  <c r="AK6" i="39"/>
  <c r="AT8" i="26"/>
  <c r="AS7" i="39" s="1"/>
  <c r="AK7" i="39"/>
  <c r="AT9" i="26"/>
  <c r="AS8" i="39" s="1"/>
  <c r="AK8" i="39"/>
  <c r="AT10" i="26"/>
  <c r="AS9" i="39" s="1"/>
  <c r="AK9" i="39"/>
  <c r="AT11" i="26"/>
  <c r="AS10" i="39" s="1"/>
  <c r="AK10" i="39"/>
  <c r="AT12" i="26"/>
  <c r="AS11" i="39" s="1"/>
  <c r="AK11" i="39"/>
  <c r="AT13" i="26"/>
  <c r="AS12" i="39" s="1"/>
  <c r="AK12" i="39"/>
  <c r="AM23" i="26"/>
  <c r="AJ22" i="39" s="1"/>
  <c r="AI22" i="39"/>
  <c r="AD25" i="26"/>
  <c r="AA24" i="39" s="1"/>
  <c r="Y24" i="39"/>
  <c r="AM32" i="26"/>
  <c r="AJ31" i="39" s="1"/>
  <c r="AI31" i="39"/>
  <c r="AM37" i="26"/>
  <c r="AJ36" i="39" s="1"/>
  <c r="AI36" i="39"/>
  <c r="AT8" i="22"/>
  <c r="AS39" i="39" s="1"/>
  <c r="AK39" i="39"/>
  <c r="AT12" i="22"/>
  <c r="AS43" i="39" s="1"/>
  <c r="AK43" i="39"/>
  <c r="AM16" i="22"/>
  <c r="AJ47" i="39" s="1"/>
  <c r="AI47" i="39"/>
  <c r="AD18" i="22"/>
  <c r="AA49" i="39" s="1"/>
  <c r="Y49" i="39"/>
  <c r="AM21" i="22"/>
  <c r="AJ52" i="39" s="1"/>
  <c r="AI52" i="39"/>
  <c r="AD23" i="22"/>
  <c r="AA54" i="39" s="1"/>
  <c r="Y54" i="39"/>
  <c r="AM26" i="22"/>
  <c r="AJ57" i="39" s="1"/>
  <c r="AI57" i="39"/>
  <c r="AM28" i="22"/>
  <c r="AJ59" i="39" s="1"/>
  <c r="AI59" i="39"/>
  <c r="AM33" i="22"/>
  <c r="AJ64" i="39" s="1"/>
  <c r="AI64" i="39"/>
  <c r="AM35" i="22"/>
  <c r="AJ66" i="39" s="1"/>
  <c r="AI66" i="39"/>
  <c r="AD11" i="32"/>
  <c r="AA72" i="39" s="1"/>
  <c r="Y72" i="39"/>
  <c r="AM16" i="32"/>
  <c r="AJ77" i="39" s="1"/>
  <c r="AI77" i="39"/>
  <c r="AM14" i="33"/>
  <c r="AJ89" i="39" s="1"/>
  <c r="AI89" i="39"/>
  <c r="AJ14" i="22"/>
  <c r="AG45" i="39" s="1"/>
  <c r="AF45" i="39"/>
  <c r="AK85" i="39"/>
  <c r="AD26" i="22"/>
  <c r="AA57" i="39" s="1"/>
  <c r="Y57" i="39"/>
  <c r="AD22" i="26"/>
  <c r="AA21" i="39" s="1"/>
  <c r="Y21" i="39"/>
  <c r="AD20" i="22"/>
  <c r="AA51" i="39" s="1"/>
  <c r="Y51" i="39"/>
  <c r="AD19" i="26"/>
  <c r="AA18" i="39" s="1"/>
  <c r="Y18" i="39"/>
  <c r="AM27" i="26"/>
  <c r="AJ26" i="39" s="1"/>
  <c r="AI26" i="39"/>
  <c r="AT9" i="22"/>
  <c r="AS40" i="39" s="1"/>
  <c r="AK40" i="39"/>
  <c r="AD25" i="22"/>
  <c r="AA56" i="39" s="1"/>
  <c r="Y56" i="39"/>
  <c r="AD8" i="32"/>
  <c r="AA69" i="39" s="1"/>
  <c r="Y69" i="39"/>
  <c r="AD12" i="32"/>
  <c r="AA73" i="39" s="1"/>
  <c r="Y73" i="39"/>
  <c r="AM16" i="33"/>
  <c r="AJ91" i="39" s="1"/>
  <c r="AI91" i="39"/>
  <c r="AI92" i="39"/>
  <c r="AD15" i="26"/>
  <c r="AA14" i="39" s="1"/>
  <c r="Y14" i="39"/>
  <c r="AD30" i="22"/>
  <c r="AA61" i="39" s="1"/>
  <c r="Y61" i="39"/>
  <c r="AM15" i="26"/>
  <c r="AJ14" i="39" s="1"/>
  <c r="AI14" i="39"/>
  <c r="AD27" i="26"/>
  <c r="AA26" i="39" s="1"/>
  <c r="Y26" i="39"/>
  <c r="AM30" i="22"/>
  <c r="AJ61" i="39" s="1"/>
  <c r="AI61" i="39"/>
  <c r="AD15" i="32"/>
  <c r="AA76" i="39" s="1"/>
  <c r="Y76" i="39"/>
  <c r="AD8" i="26"/>
  <c r="AA7" i="39" s="1"/>
  <c r="Y7" i="39"/>
  <c r="AD14" i="26"/>
  <c r="AA13" i="39" s="1"/>
  <c r="Y13" i="39"/>
  <c r="AM36" i="26"/>
  <c r="AJ35" i="39" s="1"/>
  <c r="AI35" i="39"/>
  <c r="AD13" i="22"/>
  <c r="AA44" i="39" s="1"/>
  <c r="Y44" i="39"/>
  <c r="AM15" i="22"/>
  <c r="AJ46" i="39" s="1"/>
  <c r="AI46" i="39"/>
  <c r="AD17" i="22"/>
  <c r="AA48" i="39" s="1"/>
  <c r="Y48" i="39"/>
  <c r="AM20" i="22"/>
  <c r="AJ51" i="39" s="1"/>
  <c r="AI51" i="39"/>
  <c r="AD22" i="22"/>
  <c r="AA53" i="39" s="1"/>
  <c r="Y53" i="39"/>
  <c r="AD27" i="22"/>
  <c r="AA58" i="39" s="1"/>
  <c r="Y58" i="39"/>
  <c r="AD29" i="22"/>
  <c r="AA60" i="39" s="1"/>
  <c r="Y60" i="39"/>
  <c r="AM32" i="22"/>
  <c r="AJ63" i="39" s="1"/>
  <c r="AI63" i="39"/>
  <c r="AD34" i="22"/>
  <c r="AA65" i="39" s="1"/>
  <c r="Y65" i="39"/>
  <c r="AT9" i="32"/>
  <c r="AS70" i="39" s="1"/>
  <c r="AK70" i="39"/>
  <c r="AM15" i="32"/>
  <c r="AJ76" i="39" s="1"/>
  <c r="AI76" i="39"/>
  <c r="AD17" i="32"/>
  <c r="AA78" i="39" s="1"/>
  <c r="Y78" i="39"/>
  <c r="AM13" i="33"/>
  <c r="AJ88" i="39" s="1"/>
  <c r="AI88" i="39"/>
  <c r="AK83" i="39"/>
  <c r="AD34" i="26"/>
  <c r="AA33" i="39" s="1"/>
  <c r="Y33" i="39"/>
  <c r="AM24" i="22"/>
  <c r="AJ55" i="39" s="1"/>
  <c r="AI55" i="39"/>
  <c r="AD35" i="22"/>
  <c r="AA66" i="39" s="1"/>
  <c r="Y66" i="39"/>
  <c r="AM20" i="26"/>
  <c r="AJ19" i="39" s="1"/>
  <c r="AI19" i="39"/>
  <c r="AT7" i="33"/>
  <c r="AS82" i="39" s="1"/>
  <c r="AK82" i="39"/>
  <c r="AM25" i="26"/>
  <c r="AJ24" i="39" s="1"/>
  <c r="AI24" i="39"/>
  <c r="AM23" i="22"/>
  <c r="AJ54" i="39" s="1"/>
  <c r="AI54" i="39"/>
  <c r="AD9" i="26"/>
  <c r="AA8" i="39" s="1"/>
  <c r="Y8" i="39"/>
  <c r="AD11" i="26"/>
  <c r="AA10" i="39" s="1"/>
  <c r="Y10" i="39"/>
  <c r="AD13" i="26"/>
  <c r="AA12" i="39" s="1"/>
  <c r="Y12" i="39"/>
  <c r="AM17" i="26"/>
  <c r="AJ16" i="39" s="1"/>
  <c r="AI16" i="39"/>
  <c r="AM22" i="26"/>
  <c r="AJ21" i="39" s="1"/>
  <c r="AI21" i="39"/>
  <c r="AD33" i="26"/>
  <c r="AA32" i="39" s="1"/>
  <c r="Y32" i="39"/>
  <c r="AD9" i="22"/>
  <c r="AA40" i="39" s="1"/>
  <c r="Y40" i="39"/>
  <c r="AD6" i="26"/>
  <c r="AA5" i="39" s="1"/>
  <c r="Y5" i="39"/>
  <c r="AM14" i="26"/>
  <c r="AJ13" i="39" s="1"/>
  <c r="AI13" i="39"/>
  <c r="AD16" i="26"/>
  <c r="AA15" i="39" s="1"/>
  <c r="Y15" i="39"/>
  <c r="AM19" i="26"/>
  <c r="AJ18" i="39" s="1"/>
  <c r="AI18" i="39"/>
  <c r="AD21" i="26"/>
  <c r="AA20" i="39" s="1"/>
  <c r="Y20" i="39"/>
  <c r="AM33" i="26"/>
  <c r="AJ32" i="39" s="1"/>
  <c r="AI32" i="39"/>
  <c r="AD35" i="26"/>
  <c r="AA34" i="39" s="1"/>
  <c r="Y34" i="39"/>
  <c r="AT6" i="22"/>
  <c r="AS37" i="39" s="1"/>
  <c r="AK37" i="39"/>
  <c r="AT10" i="22"/>
  <c r="AS41" i="39" s="1"/>
  <c r="AK41" i="39"/>
  <c r="AM25" i="22"/>
  <c r="AJ56" i="39" s="1"/>
  <c r="AI56" i="39"/>
  <c r="AM27" i="22"/>
  <c r="AJ58" i="39" s="1"/>
  <c r="AI58" i="39"/>
  <c r="AM29" i="22"/>
  <c r="AJ60" i="39" s="1"/>
  <c r="AI60" i="39"/>
  <c r="AD31" i="22"/>
  <c r="AA62" i="39" s="1"/>
  <c r="Y62" i="39"/>
  <c r="AM34" i="22"/>
  <c r="AJ65" i="39" s="1"/>
  <c r="AI65" i="39"/>
  <c r="AD14" i="32"/>
  <c r="AA75" i="39" s="1"/>
  <c r="Y75" i="39"/>
  <c r="AI94" i="39"/>
  <c r="AI80" i="39"/>
  <c r="Y80" i="39"/>
  <c r="Y70" i="39"/>
  <c r="Y68" i="39"/>
  <c r="AM18" i="26"/>
  <c r="AJ17" i="39" s="1"/>
  <c r="AI17" i="39"/>
  <c r="AM14" i="22"/>
  <c r="AJ45" i="39" s="1"/>
  <c r="AI45" i="39"/>
  <c r="AD17" i="26"/>
  <c r="AA16" i="39" s="1"/>
  <c r="Y16" i="39"/>
  <c r="AM34" i="26"/>
  <c r="AJ33" i="39" s="1"/>
  <c r="AI33" i="39"/>
  <c r="AD12" i="22"/>
  <c r="AA43" i="39" s="1"/>
  <c r="Y43" i="39"/>
  <c r="AT8" i="32"/>
  <c r="AS69" i="39" s="1"/>
  <c r="AK69" i="39"/>
  <c r="AJ19" i="22"/>
  <c r="AG50" i="39" s="1"/>
  <c r="AF50" i="39"/>
  <c r="AJ13" i="33"/>
  <c r="AG88" i="39" s="1"/>
  <c r="AF88" i="39"/>
  <c r="AD31" i="26"/>
  <c r="AA30" i="39" s="1"/>
  <c r="Y30" i="39"/>
  <c r="AD15" i="22"/>
  <c r="AA46" i="39" s="1"/>
  <c r="Y46" i="39"/>
  <c r="AM31" i="26"/>
  <c r="AJ30" i="39" s="1"/>
  <c r="AI30" i="39"/>
  <c r="AM24" i="26"/>
  <c r="AJ23" i="39" s="1"/>
  <c r="AI23" i="39"/>
  <c r="AD26" i="26"/>
  <c r="AA25" i="39" s="1"/>
  <c r="Y25" i="39"/>
  <c r="AD28" i="26"/>
  <c r="AA27" i="39" s="1"/>
  <c r="Y27" i="39"/>
  <c r="AD6" i="22"/>
  <c r="AA37" i="39" s="1"/>
  <c r="Y37" i="39"/>
  <c r="AD10" i="22"/>
  <c r="AA41" i="39" s="1"/>
  <c r="Y41" i="39"/>
  <c r="AD14" i="22"/>
  <c r="AA45" i="39" s="1"/>
  <c r="Y45" i="39"/>
  <c r="AM17" i="22"/>
  <c r="AJ48" i="39" s="1"/>
  <c r="AI48" i="39"/>
  <c r="AD19" i="22"/>
  <c r="AA50" i="39" s="1"/>
  <c r="Y50" i="39"/>
  <c r="AM22" i="22"/>
  <c r="AJ53" i="39" s="1"/>
  <c r="AI53" i="39"/>
  <c r="AD24" i="22"/>
  <c r="AA55" i="39" s="1"/>
  <c r="Y55" i="39"/>
  <c r="AT6" i="32"/>
  <c r="AS67" i="39" s="1"/>
  <c r="AK67" i="39"/>
  <c r="AT10" i="32"/>
  <c r="AS71" i="39" s="1"/>
  <c r="AK71" i="39"/>
  <c r="AM17" i="32"/>
  <c r="AJ78" i="39" s="1"/>
  <c r="AI78" i="39"/>
  <c r="AT9" i="33"/>
  <c r="AS84" i="39" s="1"/>
  <c r="AK84" i="39"/>
  <c r="AI74" i="39"/>
  <c r="Y67" i="39"/>
  <c r="AM30" i="26"/>
  <c r="AJ29" i="39" s="1"/>
  <c r="AI29" i="39"/>
  <c r="AD7" i="22"/>
  <c r="AA38" i="39" s="1"/>
  <c r="Y38" i="39"/>
  <c r="AD11" i="22"/>
  <c r="AA42" i="39" s="1"/>
  <c r="Y42" i="39"/>
  <c r="AD28" i="22"/>
  <c r="AA59" i="39" s="1"/>
  <c r="Y59" i="39"/>
  <c r="AD36" i="26"/>
  <c r="AA35" i="39" s="1"/>
  <c r="Y35" i="39"/>
  <c r="AD8" i="22"/>
  <c r="AA39" i="39" s="1"/>
  <c r="Y39" i="39"/>
  <c r="AD32" i="22"/>
  <c r="AA63" i="39" s="1"/>
  <c r="Y63" i="39"/>
  <c r="AD29" i="26"/>
  <c r="AA28" i="39" s="1"/>
  <c r="Y28" i="39"/>
  <c r="AT13" i="22"/>
  <c r="AS44" i="39" s="1"/>
  <c r="AK44" i="39"/>
  <c r="AM18" i="22"/>
  <c r="AJ49" i="39" s="1"/>
  <c r="AI49" i="39"/>
  <c r="AD7" i="26"/>
  <c r="AA6" i="39" s="1"/>
  <c r="Y6" i="39"/>
  <c r="AD10" i="26"/>
  <c r="AA9" i="39" s="1"/>
  <c r="Y9" i="39"/>
  <c r="AD12" i="26"/>
  <c r="AA11" i="39" s="1"/>
  <c r="Y11" i="39"/>
  <c r="AD24" i="26"/>
  <c r="AA23" i="39" s="1"/>
  <c r="Y23" i="39"/>
  <c r="AM29" i="26"/>
  <c r="AJ28" i="39" s="1"/>
  <c r="AI28" i="39"/>
  <c r="AM16" i="26"/>
  <c r="AJ15" i="39" s="1"/>
  <c r="AI15" i="39"/>
  <c r="AD18" i="26"/>
  <c r="AA17" i="39" s="1"/>
  <c r="Y17" i="39"/>
  <c r="AM21" i="26"/>
  <c r="AJ20" i="39" s="1"/>
  <c r="AI20" i="39"/>
  <c r="AD23" i="26"/>
  <c r="AA22" i="39" s="1"/>
  <c r="Y22" i="39"/>
  <c r="AM26" i="26"/>
  <c r="AJ25" i="39" s="1"/>
  <c r="AI25" i="39"/>
  <c r="AD30" i="26"/>
  <c r="AA29" i="39" s="1"/>
  <c r="Y29" i="39"/>
  <c r="AD32" i="26"/>
  <c r="AA31" i="39" s="1"/>
  <c r="Y31" i="39"/>
  <c r="AM35" i="26"/>
  <c r="AJ34" i="39" s="1"/>
  <c r="AI34" i="39"/>
  <c r="AD37" i="26"/>
  <c r="AA36" i="39" s="1"/>
  <c r="Y36" i="39"/>
  <c r="AT7" i="22"/>
  <c r="AS38" i="39" s="1"/>
  <c r="AK38" i="39"/>
  <c r="AT11" i="22"/>
  <c r="AS42" i="39" s="1"/>
  <c r="AK42" i="39"/>
  <c r="AD16" i="22"/>
  <c r="AA47" i="39" s="1"/>
  <c r="Y47" i="39"/>
  <c r="AM19" i="22"/>
  <c r="AJ50" i="39" s="1"/>
  <c r="AI50" i="39"/>
  <c r="AD21" i="22"/>
  <c r="AA52" i="39" s="1"/>
  <c r="Y52" i="39"/>
  <c r="AM31" i="22"/>
  <c r="AJ62" i="39" s="1"/>
  <c r="AI62" i="39"/>
  <c r="AD33" i="22"/>
  <c r="AA64" i="39" s="1"/>
  <c r="Y64" i="39"/>
  <c r="AM14" i="32"/>
  <c r="AJ75" i="39" s="1"/>
  <c r="AI75" i="39"/>
  <c r="AM12" i="33"/>
  <c r="AJ87" i="39" s="1"/>
  <c r="AI87" i="39"/>
  <c r="AI95" i="39"/>
  <c r="AK86" i="39"/>
  <c r="AF19" i="32"/>
  <c r="AC80" i="39" s="1"/>
  <c r="K27" i="44"/>
  <c r="G27" i="44"/>
  <c r="C27" i="44"/>
  <c r="K26" i="44"/>
  <c r="G26" i="44"/>
  <c r="C26" i="44"/>
  <c r="K25" i="44"/>
  <c r="G25" i="44"/>
  <c r="C25" i="44"/>
  <c r="K24" i="44"/>
  <c r="G24" i="44"/>
  <c r="F24" i="44"/>
  <c r="E24" i="44"/>
  <c r="D24" i="44"/>
  <c r="C24" i="44"/>
  <c r="D17" i="44"/>
  <c r="D15" i="44"/>
  <c r="D16" i="44"/>
  <c r="D14" i="44"/>
  <c r="AI13" i="32"/>
  <c r="AF74" i="39" s="1"/>
  <c r="AI16" i="32"/>
  <c r="AF77" i="39" s="1"/>
  <c r="M12" i="22"/>
  <c r="AI27" i="22"/>
  <c r="AF58" i="39" s="1"/>
  <c r="AF15" i="22"/>
  <c r="AC46" i="39" s="1"/>
  <c r="M15" i="22"/>
  <c r="E46" i="39" s="1"/>
  <c r="AI12" i="32"/>
  <c r="AF73" i="39" s="1"/>
  <c r="AI23" i="22"/>
  <c r="AF54" i="39" s="1"/>
  <c r="AI26" i="22"/>
  <c r="AF57" i="39" s="1"/>
  <c r="AI34" i="22"/>
  <c r="AF65" i="39" s="1"/>
  <c r="M32" i="22"/>
  <c r="AI18" i="22"/>
  <c r="AF49" i="39" s="1"/>
  <c r="AF28" i="22"/>
  <c r="AC59" i="39" s="1"/>
  <c r="AI33" i="22"/>
  <c r="AF64" i="39" s="1"/>
  <c r="AF22" i="22"/>
  <c r="AC53" i="39" s="1"/>
  <c r="AI15" i="33"/>
  <c r="AF90" i="39" s="1"/>
  <c r="M16" i="22"/>
  <c r="AF17" i="22"/>
  <c r="AC48" i="39" s="1"/>
  <c r="AF21" i="22"/>
  <c r="AC52" i="39" s="1"/>
  <c r="AI29" i="22"/>
  <c r="AF60" i="39" s="1"/>
  <c r="AF32" i="22"/>
  <c r="AC63" i="39" s="1"/>
  <c r="AF35" i="22"/>
  <c r="AC66" i="39" s="1"/>
  <c r="AF16" i="22"/>
  <c r="AC47" i="39" s="1"/>
  <c r="AF20" i="22"/>
  <c r="AC51" i="39" s="1"/>
  <c r="AF25" i="22"/>
  <c r="AC56" i="39" s="1"/>
  <c r="AI28" i="22"/>
  <c r="AF59" i="39" s="1"/>
  <c r="AI31" i="22"/>
  <c r="AF62" i="39" s="1"/>
  <c r="AF19" i="22"/>
  <c r="AC50" i="39" s="1"/>
  <c r="AF24" i="22"/>
  <c r="AC55" i="39" s="1"/>
  <c r="AI15" i="22"/>
  <c r="AF46" i="39" s="1"/>
  <c r="AF23" i="22"/>
  <c r="AC54" i="39" s="1"/>
  <c r="AF30" i="22"/>
  <c r="AC61" i="39" s="1"/>
  <c r="M19" i="22"/>
  <c r="M9" i="22"/>
  <c r="T27" i="26"/>
  <c r="M8" i="22"/>
  <c r="T15" i="26"/>
  <c r="M33" i="22"/>
  <c r="AI14" i="33"/>
  <c r="AF89" i="39" s="1"/>
  <c r="AI17" i="33"/>
  <c r="AF92" i="39" s="1"/>
  <c r="M18" i="22"/>
  <c r="M27" i="22"/>
  <c r="M26" i="22"/>
  <c r="T16" i="32"/>
  <c r="O77" i="39" s="1"/>
  <c r="AI17" i="22"/>
  <c r="AF48" i="39" s="1"/>
  <c r="AI20" i="33"/>
  <c r="AF95" i="39" s="1"/>
  <c r="AI16" i="22"/>
  <c r="AF47" i="39" s="1"/>
  <c r="T35" i="22"/>
  <c r="O66" i="39" s="1"/>
  <c r="M35" i="22"/>
  <c r="M14" i="22"/>
  <c r="AF31" i="22"/>
  <c r="AC62" i="39" s="1"/>
  <c r="AI32" i="22"/>
  <c r="AF63" i="39" s="1"/>
  <c r="AI15" i="32"/>
  <c r="AF76" i="39" s="1"/>
  <c r="M10" i="22"/>
  <c r="AF27" i="22"/>
  <c r="AC58" i="39" s="1"/>
  <c r="AF14" i="32"/>
  <c r="AC75" i="39" s="1"/>
  <c r="M29" i="22"/>
  <c r="T29" i="22"/>
  <c r="O60" i="39" s="1"/>
  <c r="AI18" i="33"/>
  <c r="AF93" i="39" s="1"/>
  <c r="T20" i="33"/>
  <c r="O95" i="39" s="1"/>
  <c r="T19" i="32"/>
  <c r="O80" i="39" s="1"/>
  <c r="M25" i="22"/>
  <c r="M34" i="22"/>
  <c r="T7" i="33"/>
  <c r="O82" i="39" s="1"/>
  <c r="M24" i="22"/>
  <c r="M13" i="22"/>
  <c r="T22" i="22"/>
  <c r="O53" i="39" s="1"/>
  <c r="AI30" i="22"/>
  <c r="AF61" i="39" s="1"/>
  <c r="T7" i="32"/>
  <c r="O68" i="39" s="1"/>
  <c r="M17" i="22"/>
  <c r="M21" i="22"/>
  <c r="AI25" i="22"/>
  <c r="AF56" i="39" s="1"/>
  <c r="AF29" i="22"/>
  <c r="AC60" i="39" s="1"/>
  <c r="AF26" i="22"/>
  <c r="AC57" i="39" s="1"/>
  <c r="M31" i="22"/>
  <c r="M20" i="22"/>
  <c r="M11" i="22"/>
  <c r="T8" i="26"/>
  <c r="O7" i="39" s="1"/>
  <c r="T10" i="26"/>
  <c r="O9" i="39" s="1"/>
  <c r="T12" i="26"/>
  <c r="O11" i="39" s="1"/>
  <c r="T24" i="26"/>
  <c r="O23" i="39" s="1"/>
  <c r="AI24" i="22"/>
  <c r="AF55" i="39" s="1"/>
  <c r="T27" i="22"/>
  <c r="O58" i="39" s="1"/>
  <c r="AI35" i="22"/>
  <c r="AF66" i="39" s="1"/>
  <c r="M30" i="22"/>
  <c r="AF34" i="22"/>
  <c r="AC65" i="39" s="1"/>
  <c r="AI21" i="22"/>
  <c r="AF52" i="39" s="1"/>
  <c r="AF33" i="22"/>
  <c r="AC64" i="39" s="1"/>
  <c r="AI14" i="32"/>
  <c r="AF75" i="39" s="1"/>
  <c r="T21" i="33"/>
  <c r="O96" i="39" s="1"/>
  <c r="T37" i="26"/>
  <c r="O36" i="39" s="1"/>
  <c r="T16" i="22"/>
  <c r="O47" i="39" s="1"/>
  <c r="T17" i="22"/>
  <c r="O48" i="39" s="1"/>
  <c r="AI20" i="22"/>
  <c r="AF51" i="39" s="1"/>
  <c r="T25" i="26"/>
  <c r="O24" i="39" s="1"/>
  <c r="T21" i="22"/>
  <c r="O52" i="39" s="1"/>
  <c r="AI17" i="32"/>
  <c r="AF78" i="39" s="1"/>
  <c r="AI19" i="32"/>
  <c r="AF80" i="39" s="1"/>
  <c r="AI16" i="33"/>
  <c r="AF91" i="39" s="1"/>
  <c r="AI12" i="33"/>
  <c r="AF87" i="39" s="1"/>
  <c r="AF17" i="33"/>
  <c r="AC92" i="39" s="1"/>
  <c r="AF18" i="33"/>
  <c r="AC93" i="39" s="1"/>
  <c r="AF20" i="33"/>
  <c r="AC95" i="39" s="1"/>
  <c r="AF19" i="33"/>
  <c r="AC94" i="39" s="1"/>
  <c r="AF21" i="33"/>
  <c r="AC96" i="39" s="1"/>
  <c r="AF14" i="33"/>
  <c r="AC89" i="39" s="1"/>
  <c r="T6" i="26"/>
  <c r="O5" i="39" s="1"/>
  <c r="T6" i="22"/>
  <c r="O37" i="39" s="1"/>
  <c r="T10" i="22"/>
  <c r="O41" i="39" s="1"/>
  <c r="T17" i="33"/>
  <c r="O92" i="39" s="1"/>
  <c r="AO6" i="33"/>
  <c r="AL81" i="39" s="1"/>
  <c r="T13" i="32"/>
  <c r="O74" i="39" s="1"/>
  <c r="T23" i="26"/>
  <c r="O22" i="39" s="1"/>
  <c r="T30" i="26"/>
  <c r="O29" i="39" s="1"/>
  <c r="T32" i="26"/>
  <c r="O31" i="39" s="1"/>
  <c r="T18" i="22"/>
  <c r="O49" i="39" s="1"/>
  <c r="T19" i="22"/>
  <c r="O50" i="39" s="1"/>
  <c r="T31" i="22"/>
  <c r="O62" i="39" s="1"/>
  <c r="T12" i="32"/>
  <c r="O73" i="39" s="1"/>
  <c r="T9" i="26"/>
  <c r="O8" i="39" s="1"/>
  <c r="T13" i="26"/>
  <c r="O12" i="39" s="1"/>
  <c r="T14" i="26"/>
  <c r="O13" i="39" s="1"/>
  <c r="T11" i="22"/>
  <c r="O42" i="39" s="1"/>
  <c r="T25" i="22"/>
  <c r="O56" i="39" s="1"/>
  <c r="T8" i="32"/>
  <c r="O69" i="39" s="1"/>
  <c r="T8" i="22"/>
  <c r="O39" i="39" s="1"/>
  <c r="T12" i="22"/>
  <c r="O43" i="39" s="1"/>
  <c r="T23" i="22"/>
  <c r="O54" i="39" s="1"/>
  <c r="T11" i="32"/>
  <c r="O72" i="39" s="1"/>
  <c r="T29" i="26"/>
  <c r="O28" i="39" s="1"/>
  <c r="T19" i="33"/>
  <c r="O94" i="39" s="1"/>
  <c r="T33" i="22"/>
  <c r="O64" i="39" s="1"/>
  <c r="T9" i="32"/>
  <c r="O70" i="39" s="1"/>
  <c r="T15" i="32"/>
  <c r="O76" i="39" s="1"/>
  <c r="T9" i="33"/>
  <c r="O84" i="39" s="1"/>
  <c r="T18" i="33"/>
  <c r="O93" i="39" s="1"/>
  <c r="T15" i="22"/>
  <c r="O46" i="39" s="1"/>
  <c r="AK17" i="32"/>
  <c r="AH78" i="39" s="1"/>
  <c r="AT6" i="33"/>
  <c r="AS81" i="39" s="1"/>
  <c r="T11" i="33"/>
  <c r="O86" i="39" s="1"/>
  <c r="T10" i="33"/>
  <c r="O85" i="39" s="1"/>
  <c r="T13" i="33"/>
  <c r="O88" i="39" s="1"/>
  <c r="T14" i="33"/>
  <c r="O89" i="39" s="1"/>
  <c r="T15" i="33"/>
  <c r="O90" i="39" s="1"/>
  <c r="T16" i="33"/>
  <c r="O91" i="39" s="1"/>
  <c r="T8" i="33"/>
  <c r="O83" i="39" s="1"/>
  <c r="T12" i="33"/>
  <c r="O87" i="39" s="1"/>
  <c r="T6" i="33"/>
  <c r="O81" i="39" s="1"/>
  <c r="AO6" i="32"/>
  <c r="AL67" i="39" s="1"/>
  <c r="AK18" i="32"/>
  <c r="AH79" i="39" s="1"/>
  <c r="T14" i="32"/>
  <c r="O75" i="39" s="1"/>
  <c r="T10" i="32"/>
  <c r="O71" i="39" s="1"/>
  <c r="T17" i="32"/>
  <c r="O78" i="39" s="1"/>
  <c r="T6" i="32"/>
  <c r="O67" i="39" s="1"/>
  <c r="T18" i="32"/>
  <c r="O79" i="39" s="1"/>
  <c r="M23" i="22"/>
  <c r="M6" i="22"/>
  <c r="T7" i="22"/>
  <c r="O38" i="39" s="1"/>
  <c r="M22" i="22"/>
  <c r="T13" i="22"/>
  <c r="O44" i="39" s="1"/>
  <c r="T20" i="22"/>
  <c r="O51" i="39" s="1"/>
  <c r="M28" i="22"/>
  <c r="M7" i="22"/>
  <c r="T9" i="22"/>
  <c r="O40" i="39" s="1"/>
  <c r="T14" i="22"/>
  <c r="O45" i="39" s="1"/>
  <c r="T24" i="22"/>
  <c r="O55" i="39" s="1"/>
  <c r="T26" i="22"/>
  <c r="O57" i="39" s="1"/>
  <c r="T28" i="22"/>
  <c r="O59" i="39" s="1"/>
  <c r="T30" i="22"/>
  <c r="O61" i="39" s="1"/>
  <c r="T32" i="22"/>
  <c r="O63" i="39" s="1"/>
  <c r="T34" i="22"/>
  <c r="O65" i="39" s="1"/>
  <c r="AO6" i="22"/>
  <c r="AL37" i="39" s="1"/>
  <c r="T19" i="26"/>
  <c r="O18" i="39" s="1"/>
  <c r="T18" i="26"/>
  <c r="O17" i="39" s="1"/>
  <c r="T26" i="26"/>
  <c r="O25" i="39" s="1"/>
  <c r="T28" i="26"/>
  <c r="O27" i="39" s="1"/>
  <c r="AO6" i="26"/>
  <c r="AL5" i="39" s="1"/>
  <c r="T11" i="26"/>
  <c r="O10" i="39" s="1"/>
  <c r="T22" i="26"/>
  <c r="O21" i="39" s="1"/>
  <c r="T33" i="26"/>
  <c r="O32" i="39" s="1"/>
  <c r="T34" i="26"/>
  <c r="O33" i="39" s="1"/>
  <c r="T7" i="26"/>
  <c r="O6" i="39" s="1"/>
  <c r="T36" i="26"/>
  <c r="O35" i="39" s="1"/>
  <c r="T31" i="26"/>
  <c r="O30" i="39" s="1"/>
  <c r="AT6" i="26"/>
  <c r="AS5" i="39" s="1"/>
  <c r="T16" i="26"/>
  <c r="O15" i="39" s="1"/>
  <c r="T17" i="26"/>
  <c r="O16" i="39" s="1"/>
  <c r="T20" i="26"/>
  <c r="O19" i="39" s="1"/>
  <c r="T21" i="26"/>
  <c r="O20" i="39" s="1"/>
  <c r="T35" i="26"/>
  <c r="O34" i="39" s="1"/>
  <c r="AK13" i="33" l="1"/>
  <c r="AH88" i="39" s="1"/>
  <c r="AK14" i="22"/>
  <c r="AH45" i="39" s="1"/>
  <c r="U15" i="26"/>
  <c r="O14" i="39"/>
  <c r="U27" i="26"/>
  <c r="O26" i="39"/>
  <c r="BB92" i="33"/>
  <c r="L54" i="33" s="1"/>
  <c r="BB92" i="32"/>
  <c r="L54" i="32" s="1"/>
  <c r="BB92" i="22"/>
  <c r="L54" i="22" s="1"/>
  <c r="BB92" i="26"/>
  <c r="L54" i="26" s="1"/>
  <c r="AK19" i="33"/>
  <c r="AH94" i="39" s="1"/>
  <c r="AK21" i="33"/>
  <c r="AH96" i="39" s="1"/>
  <c r="AK18" i="33"/>
  <c r="AH93" i="39" s="1"/>
  <c r="AJ15" i="33"/>
  <c r="AG90" i="39" s="1"/>
  <c r="AK20" i="33"/>
  <c r="AH95" i="39" s="1"/>
  <c r="AK17" i="33"/>
  <c r="AH92" i="39" s="1"/>
  <c r="AJ12" i="33"/>
  <c r="AG87" i="39" s="1"/>
  <c r="AK14" i="33"/>
  <c r="AH89" i="39" s="1"/>
  <c r="AJ16" i="33"/>
  <c r="AG91" i="39" s="1"/>
  <c r="AJ16" i="32"/>
  <c r="AG77" i="39" s="1"/>
  <c r="AN17" i="32"/>
  <c r="AK78" i="39" s="1"/>
  <c r="AJ12" i="32"/>
  <c r="AG73" i="39" s="1"/>
  <c r="AN18" i="32"/>
  <c r="AK79" i="39" s="1"/>
  <c r="AK14" i="32"/>
  <c r="AH75" i="39" s="1"/>
  <c r="AJ13" i="32"/>
  <c r="AG74" i="39" s="1"/>
  <c r="AJ19" i="32"/>
  <c r="AG80" i="39" s="1"/>
  <c r="AJ15" i="32"/>
  <c r="AG76" i="39" s="1"/>
  <c r="AK32" i="22"/>
  <c r="AH63" i="39" s="1"/>
  <c r="AK30" i="22"/>
  <c r="AH61" i="39" s="1"/>
  <c r="AK20" i="22"/>
  <c r="AH51" i="39" s="1"/>
  <c r="AK31" i="22"/>
  <c r="AH62" i="39" s="1"/>
  <c r="AK33" i="22"/>
  <c r="AH64" i="39" s="1"/>
  <c r="AK23" i="22"/>
  <c r="AH54" i="39" s="1"/>
  <c r="AK16" i="22"/>
  <c r="AH47" i="39" s="1"/>
  <c r="AJ29" i="22"/>
  <c r="AG60" i="39" s="1"/>
  <c r="AJ34" i="22"/>
  <c r="AG65" i="39" s="1"/>
  <c r="AK25" i="22"/>
  <c r="AH56" i="39" s="1"/>
  <c r="AJ15" i="22"/>
  <c r="AG46" i="39" s="1"/>
  <c r="AK21" i="22"/>
  <c r="AH52" i="39" s="1"/>
  <c r="AJ26" i="22"/>
  <c r="AG57" i="39" s="1"/>
  <c r="AK19" i="22"/>
  <c r="AH50" i="39" s="1"/>
  <c r="AJ28" i="22"/>
  <c r="AG59" i="39" s="1"/>
  <c r="AK17" i="22"/>
  <c r="AH48" i="39" s="1"/>
  <c r="AJ18" i="22"/>
  <c r="AG49" i="39" s="1"/>
  <c r="AJ35" i="22"/>
  <c r="AG66" i="39" s="1"/>
  <c r="AK22" i="22"/>
  <c r="AH53" i="39" s="1"/>
  <c r="AJ27" i="22"/>
  <c r="AG58" i="39" s="1"/>
  <c r="AK24" i="22"/>
  <c r="AH55" i="39" s="1"/>
  <c r="AR32" i="22"/>
  <c r="AQ63" i="39" s="1"/>
  <c r="E37" i="39"/>
  <c r="AR21" i="22"/>
  <c r="AQ52" i="39" s="1"/>
  <c r="AR24" i="22"/>
  <c r="AQ55" i="39" s="1"/>
  <c r="AR25" i="22"/>
  <c r="AQ56" i="39" s="1"/>
  <c r="AR30" i="22"/>
  <c r="AQ61" i="39" s="1"/>
  <c r="AR19" i="22"/>
  <c r="AQ50" i="39" s="1"/>
  <c r="AR13" i="22"/>
  <c r="AQ44" i="39" s="1"/>
  <c r="AR12" i="22"/>
  <c r="AQ43" i="39" s="1"/>
  <c r="AR11" i="22"/>
  <c r="AQ42" i="39" s="1"/>
  <c r="AR17" i="22"/>
  <c r="AQ48" i="39" s="1"/>
  <c r="AR29" i="22"/>
  <c r="AQ60" i="39" s="1"/>
  <c r="AR27" i="22"/>
  <c r="AQ58" i="39" s="1"/>
  <c r="AR20" i="22"/>
  <c r="AQ51" i="39" s="1"/>
  <c r="AR18" i="22"/>
  <c r="AQ49" i="39" s="1"/>
  <c r="AR8" i="22"/>
  <c r="AQ39" i="39" s="1"/>
  <c r="AR26" i="22"/>
  <c r="AQ57" i="39" s="1"/>
  <c r="AR16" i="22"/>
  <c r="AQ47" i="39" s="1"/>
  <c r="AR31" i="22"/>
  <c r="AQ62" i="39" s="1"/>
  <c r="AR14" i="22"/>
  <c r="AQ45" i="39" s="1"/>
  <c r="AR33" i="22"/>
  <c r="AQ64" i="39" s="1"/>
  <c r="AR15" i="22"/>
  <c r="AQ46" i="39" s="1"/>
  <c r="E53" i="39"/>
  <c r="AR35" i="22"/>
  <c r="AQ66" i="39" s="1"/>
  <c r="AR9" i="22"/>
  <c r="AQ40" i="39" s="1"/>
  <c r="AR34" i="22"/>
  <c r="AQ65" i="39" s="1"/>
  <c r="AR10" i="22"/>
  <c r="AQ41" i="39" s="1"/>
  <c r="E66" i="39"/>
  <c r="E63" i="39"/>
  <c r="E40" i="39"/>
  <c r="E60" i="39"/>
  <c r="E62" i="39"/>
  <c r="E49" i="39"/>
  <c r="E45" i="39"/>
  <c r="E43" i="39"/>
  <c r="E50" i="39"/>
  <c r="E65" i="39"/>
  <c r="E64" i="39"/>
  <c r="E39" i="39"/>
  <c r="E51" i="39"/>
  <c r="E57" i="39"/>
  <c r="U18" i="32"/>
  <c r="P79" i="39" s="1"/>
  <c r="U7" i="32"/>
  <c r="P68" i="39" s="1"/>
  <c r="U16" i="32"/>
  <c r="P77" i="39" s="1"/>
  <c r="U6" i="32"/>
  <c r="P67" i="39" s="1"/>
  <c r="U15" i="32"/>
  <c r="P76" i="39" s="1"/>
  <c r="U12" i="32"/>
  <c r="P73" i="39" s="1"/>
  <c r="U17" i="32"/>
  <c r="P78" i="39" s="1"/>
  <c r="U9" i="32"/>
  <c r="P70" i="39" s="1"/>
  <c r="E61" i="39"/>
  <c r="U19" i="32"/>
  <c r="P80" i="39" s="1"/>
  <c r="E48" i="39"/>
  <c r="U10" i="32"/>
  <c r="P71" i="39" s="1"/>
  <c r="U11" i="32"/>
  <c r="P72" i="39" s="1"/>
  <c r="U13" i="32"/>
  <c r="P74" i="39" s="1"/>
  <c r="U14" i="32"/>
  <c r="P75" i="39" s="1"/>
  <c r="U8" i="32"/>
  <c r="P69" i="39" s="1"/>
  <c r="E56" i="39"/>
  <c r="E47" i="39"/>
  <c r="U11" i="22"/>
  <c r="P42" i="39" s="1"/>
  <c r="U19" i="22"/>
  <c r="P50" i="39" s="1"/>
  <c r="U33" i="22"/>
  <c r="P64" i="39" s="1"/>
  <c r="U8" i="22"/>
  <c r="P39" i="39" s="1"/>
  <c r="E41" i="39"/>
  <c r="U18" i="22"/>
  <c r="P49" i="39" s="1"/>
  <c r="U16" i="22"/>
  <c r="P47" i="39" s="1"/>
  <c r="U14" i="22"/>
  <c r="P45" i="39" s="1"/>
  <c r="U20" i="22"/>
  <c r="P51" i="39" s="1"/>
  <c r="U23" i="22"/>
  <c r="P54" i="39" s="1"/>
  <c r="E55" i="39"/>
  <c r="U35" i="22"/>
  <c r="P66" i="39" s="1"/>
  <c r="U34" i="22"/>
  <c r="P65" i="39" s="1"/>
  <c r="U9" i="22"/>
  <c r="P40" i="39" s="1"/>
  <c r="U13" i="22"/>
  <c r="P44" i="39" s="1"/>
  <c r="U29" i="22"/>
  <c r="P60" i="39" s="1"/>
  <c r="U24" i="22"/>
  <c r="P55" i="39" s="1"/>
  <c r="U15" i="22"/>
  <c r="P46" i="39" s="1"/>
  <c r="U12" i="22"/>
  <c r="P43" i="39" s="1"/>
  <c r="U32" i="22"/>
  <c r="P63" i="39" s="1"/>
  <c r="U10" i="22"/>
  <c r="P41" i="39" s="1"/>
  <c r="U17" i="22"/>
  <c r="P48" i="39" s="1"/>
  <c r="U30" i="22"/>
  <c r="P61" i="39" s="1"/>
  <c r="U6" i="22"/>
  <c r="P37" i="39" s="1"/>
  <c r="U22" i="22"/>
  <c r="P53" i="39" s="1"/>
  <c r="U28" i="22"/>
  <c r="P59" i="39" s="1"/>
  <c r="U7" i="22"/>
  <c r="P38" i="39" s="1"/>
  <c r="U25" i="22"/>
  <c r="P56" i="39" s="1"/>
  <c r="U21" i="22"/>
  <c r="P52" i="39" s="1"/>
  <c r="U27" i="22"/>
  <c r="P58" i="39" s="1"/>
  <c r="U26" i="22"/>
  <c r="P57" i="39" s="1"/>
  <c r="U31" i="22"/>
  <c r="P62" i="39" s="1"/>
  <c r="U16" i="33"/>
  <c r="P91" i="39" s="1"/>
  <c r="U15" i="33"/>
  <c r="P90" i="39" s="1"/>
  <c r="U18" i="33"/>
  <c r="P93" i="39" s="1"/>
  <c r="U20" i="33"/>
  <c r="P95" i="39" s="1"/>
  <c r="U8" i="33"/>
  <c r="P83" i="39" s="1"/>
  <c r="U14" i="33"/>
  <c r="P89" i="39" s="1"/>
  <c r="E58" i="39"/>
  <c r="U17" i="33"/>
  <c r="P92" i="39" s="1"/>
  <c r="U21" i="33"/>
  <c r="P96" i="39" s="1"/>
  <c r="U7" i="33"/>
  <c r="P82" i="39" s="1"/>
  <c r="U13" i="33"/>
  <c r="P88" i="39" s="1"/>
  <c r="U9" i="33"/>
  <c r="P84" i="39" s="1"/>
  <c r="U19" i="33"/>
  <c r="P94" i="39" s="1"/>
  <c r="U6" i="33"/>
  <c r="P81" i="39" s="1"/>
  <c r="U10" i="33"/>
  <c r="P85" i="39" s="1"/>
  <c r="U12" i="33"/>
  <c r="P87" i="39" s="1"/>
  <c r="U11" i="33"/>
  <c r="P86" i="39" s="1"/>
  <c r="U20" i="26"/>
  <c r="P19" i="39" s="1"/>
  <c r="U33" i="26"/>
  <c r="P32" i="39" s="1"/>
  <c r="U37" i="26"/>
  <c r="P36" i="39" s="1"/>
  <c r="U19" i="26"/>
  <c r="P18" i="39" s="1"/>
  <c r="U17" i="26"/>
  <c r="P16" i="39" s="1"/>
  <c r="U22" i="26"/>
  <c r="P21" i="39" s="1"/>
  <c r="U29" i="26"/>
  <c r="P28" i="39" s="1"/>
  <c r="U32" i="26"/>
  <c r="P31" i="39" s="1"/>
  <c r="U16" i="26"/>
  <c r="P15" i="39" s="1"/>
  <c r="U11" i="26"/>
  <c r="P10" i="39" s="1"/>
  <c r="U30" i="26"/>
  <c r="P29" i="39" s="1"/>
  <c r="U34" i="26"/>
  <c r="P33" i="39" s="1"/>
  <c r="U23" i="26"/>
  <c r="P22" i="39" s="1"/>
  <c r="E44" i="39"/>
  <c r="U24" i="26"/>
  <c r="P23" i="39" s="1"/>
  <c r="U21" i="26"/>
  <c r="P20" i="39" s="1"/>
  <c r="U31" i="26"/>
  <c r="P30" i="39" s="1"/>
  <c r="U28" i="26"/>
  <c r="P27" i="39" s="1"/>
  <c r="U12" i="26"/>
  <c r="P11" i="39" s="1"/>
  <c r="U36" i="26"/>
  <c r="P35" i="39" s="1"/>
  <c r="U26" i="26"/>
  <c r="P25" i="39" s="1"/>
  <c r="U14" i="26"/>
  <c r="P13" i="39" s="1"/>
  <c r="U25" i="26"/>
  <c r="P24" i="39" s="1"/>
  <c r="U10" i="26"/>
  <c r="U9" i="26"/>
  <c r="U35" i="26"/>
  <c r="P34" i="39" s="1"/>
  <c r="U7" i="26"/>
  <c r="U18" i="26"/>
  <c r="P17" i="39" s="1"/>
  <c r="U13" i="26"/>
  <c r="P12" i="39" s="1"/>
  <c r="U6" i="26"/>
  <c r="U8" i="26"/>
  <c r="E52" i="39"/>
  <c r="N14" i="22"/>
  <c r="E42" i="39"/>
  <c r="AR28" i="22"/>
  <c r="AQ59" i="39" s="1"/>
  <c r="E59" i="39"/>
  <c r="AR23" i="22"/>
  <c r="AQ54" i="39" s="1"/>
  <c r="E54" i="39"/>
  <c r="AR7" i="22"/>
  <c r="AQ38" i="39" s="1"/>
  <c r="E38" i="39"/>
  <c r="AR6" i="22"/>
  <c r="AQ37" i="39" s="1"/>
  <c r="N6" i="22"/>
  <c r="AR22" i="22"/>
  <c r="AQ53" i="39" s="1"/>
  <c r="N22" i="22"/>
  <c r="L24" i="44" a="1"/>
  <c r="L25" i="44" a="1"/>
  <c r="L26" i="44" a="1"/>
  <c r="L27" i="44" a="1"/>
  <c r="P9" i="39" l="1"/>
  <c r="V10" i="26"/>
  <c r="P8" i="39"/>
  <c r="V9" i="26"/>
  <c r="Q8" i="39" s="1"/>
  <c r="P7" i="39"/>
  <c r="V8" i="26"/>
  <c r="Q7" i="39" s="1"/>
  <c r="P6" i="39"/>
  <c r="V7" i="26"/>
  <c r="Q6" i="39" s="1"/>
  <c r="P5" i="39"/>
  <c r="V6" i="26"/>
  <c r="AN13" i="33"/>
  <c r="AK88" i="39" s="1"/>
  <c r="AN14" i="22"/>
  <c r="AK45" i="39" s="1"/>
  <c r="V27" i="26"/>
  <c r="P26" i="39"/>
  <c r="V15" i="26"/>
  <c r="P14" i="39"/>
  <c r="L26" i="44"/>
  <c r="L27" i="44"/>
  <c r="L25" i="44"/>
  <c r="L24" i="44"/>
  <c r="AT18" i="32"/>
  <c r="AS79" i="39" s="1"/>
  <c r="AK29" i="22"/>
  <c r="AH60" i="39" s="1"/>
  <c r="AK27" i="22"/>
  <c r="AN14" i="33"/>
  <c r="AK89" i="39" s="1"/>
  <c r="AK15" i="33"/>
  <c r="AH90" i="39" s="1"/>
  <c r="AK12" i="33"/>
  <c r="AH87" i="39" s="1"/>
  <c r="AN18" i="33"/>
  <c r="AK93" i="39" s="1"/>
  <c r="AK16" i="33"/>
  <c r="AH91" i="39" s="1"/>
  <c r="AN17" i="33"/>
  <c r="AK92" i="39" s="1"/>
  <c r="AN21" i="33"/>
  <c r="AK96" i="39" s="1"/>
  <c r="AN20" i="33"/>
  <c r="AK95" i="39" s="1"/>
  <c r="AN19" i="33"/>
  <c r="AK94" i="39" s="1"/>
  <c r="AK15" i="32"/>
  <c r="AH76" i="39" s="1"/>
  <c r="AK19" i="32"/>
  <c r="AH80" i="39" s="1"/>
  <c r="AK12" i="32"/>
  <c r="AH73" i="39" s="1"/>
  <c r="AK13" i="32"/>
  <c r="AH74" i="39" s="1"/>
  <c r="AT17" i="32"/>
  <c r="AS78" i="39" s="1"/>
  <c r="AN14" i="32"/>
  <c r="AK75" i="39" s="1"/>
  <c r="AK16" i="32"/>
  <c r="AH77" i="39" s="1"/>
  <c r="AK35" i="22"/>
  <c r="AK28" i="22"/>
  <c r="AH59" i="39" s="1"/>
  <c r="AK34" i="22"/>
  <c r="AK26" i="22"/>
  <c r="AK15" i="22"/>
  <c r="AN22" i="22"/>
  <c r="AK53" i="39" s="1"/>
  <c r="AN16" i="22"/>
  <c r="AK47" i="39" s="1"/>
  <c r="AN31" i="22"/>
  <c r="AK62" i="39" s="1"/>
  <c r="AN19" i="22"/>
  <c r="AK50" i="39" s="1"/>
  <c r="AN25" i="22"/>
  <c r="AK56" i="39" s="1"/>
  <c r="AN23" i="22"/>
  <c r="AK54" i="39" s="1"/>
  <c r="AN20" i="22"/>
  <c r="AK51" i="39" s="1"/>
  <c r="AN24" i="22"/>
  <c r="AK55" i="39" s="1"/>
  <c r="AK18" i="22"/>
  <c r="AH49" i="39" s="1"/>
  <c r="AN33" i="22"/>
  <c r="AK64" i="39" s="1"/>
  <c r="AN30" i="22"/>
  <c r="AK61" i="39" s="1"/>
  <c r="AN17" i="22"/>
  <c r="AK48" i="39" s="1"/>
  <c r="AN21" i="22"/>
  <c r="AK52" i="39" s="1"/>
  <c r="AN32" i="22"/>
  <c r="AK63" i="39" s="1"/>
  <c r="V17" i="32"/>
  <c r="Q78" i="39" s="1"/>
  <c r="V14" i="32"/>
  <c r="Q75" i="39" s="1"/>
  <c r="V10" i="32"/>
  <c r="Q71" i="39" s="1"/>
  <c r="V16" i="32"/>
  <c r="Q77" i="39" s="1"/>
  <c r="V12" i="32"/>
  <c r="Q73" i="39" s="1"/>
  <c r="V19" i="32"/>
  <c r="Q80" i="39" s="1"/>
  <c r="V13" i="32"/>
  <c r="Q74" i="39" s="1"/>
  <c r="V15" i="32"/>
  <c r="Q76" i="39" s="1"/>
  <c r="V7" i="32"/>
  <c r="Q68" i="39" s="1"/>
  <c r="V11" i="32"/>
  <c r="Q72" i="39" s="1"/>
  <c r="V9" i="32"/>
  <c r="Q70" i="39" s="1"/>
  <c r="V6" i="32"/>
  <c r="Q67" i="39" s="1"/>
  <c r="V18" i="32"/>
  <c r="Q79" i="39" s="1"/>
  <c r="V8" i="32"/>
  <c r="Q69" i="39" s="1"/>
  <c r="F45" i="39"/>
  <c r="V27" i="22"/>
  <c r="Q58" i="39" s="1"/>
  <c r="V12" i="22"/>
  <c r="Q43" i="39" s="1"/>
  <c r="V25" i="22"/>
  <c r="Q56" i="39" s="1"/>
  <c r="V14" i="22"/>
  <c r="Q45" i="39" s="1"/>
  <c r="V8" i="22"/>
  <c r="Q39" i="39" s="1"/>
  <c r="V13" i="22"/>
  <c r="Q44" i="39" s="1"/>
  <c r="V26" i="22"/>
  <c r="Q57" i="39" s="1"/>
  <c r="V6" i="22"/>
  <c r="Q37" i="39" s="1"/>
  <c r="V32" i="22"/>
  <c r="Q63" i="39" s="1"/>
  <c r="V29" i="22"/>
  <c r="Q60" i="39" s="1"/>
  <c r="V35" i="22"/>
  <c r="Q66" i="39" s="1"/>
  <c r="V7" i="22"/>
  <c r="Q38" i="39" s="1"/>
  <c r="V23" i="22"/>
  <c r="Q54" i="39" s="1"/>
  <c r="V19" i="22"/>
  <c r="Q50" i="39" s="1"/>
  <c r="V33" i="22"/>
  <c r="Q64" i="39" s="1"/>
  <c r="V16" i="22"/>
  <c r="Q47" i="39" s="1"/>
  <c r="V21" i="22"/>
  <c r="Q52" i="39" s="1"/>
  <c r="V28" i="22"/>
  <c r="Q59" i="39" s="1"/>
  <c r="V17" i="22"/>
  <c r="Q48" i="39" s="1"/>
  <c r="V15" i="22"/>
  <c r="Q46" i="39" s="1"/>
  <c r="V9" i="22"/>
  <c r="Q40" i="39" s="1"/>
  <c r="V18" i="22"/>
  <c r="Q49" i="39" s="1"/>
  <c r="V20" i="22"/>
  <c r="Q51" i="39" s="1"/>
  <c r="V11" i="22"/>
  <c r="Q42" i="39" s="1"/>
  <c r="V30" i="22"/>
  <c r="Q61" i="39" s="1"/>
  <c r="V31" i="22"/>
  <c r="Q62" i="39" s="1"/>
  <c r="V22" i="22"/>
  <c r="Q53" i="39" s="1"/>
  <c r="V10" i="22"/>
  <c r="Q41" i="39" s="1"/>
  <c r="V24" i="22"/>
  <c r="Q55" i="39" s="1"/>
  <c r="V34" i="22"/>
  <c r="Q65" i="39" s="1"/>
  <c r="F37" i="39"/>
  <c r="V18" i="33"/>
  <c r="Q93" i="39" s="1"/>
  <c r="V19" i="33"/>
  <c r="Q94" i="39" s="1"/>
  <c r="V7" i="33"/>
  <c r="Q82" i="39" s="1"/>
  <c r="V14" i="33"/>
  <c r="Q89" i="39" s="1"/>
  <c r="V15" i="33"/>
  <c r="Q90" i="39" s="1"/>
  <c r="V11" i="33"/>
  <c r="Q86" i="39" s="1"/>
  <c r="V10" i="33"/>
  <c r="Q85" i="39" s="1"/>
  <c r="V21" i="33"/>
  <c r="Q96" i="39" s="1"/>
  <c r="V8" i="33"/>
  <c r="Q83" i="39" s="1"/>
  <c r="F53" i="39"/>
  <c r="V9" i="33"/>
  <c r="Q84" i="39" s="1"/>
  <c r="V12" i="33"/>
  <c r="Q87" i="39" s="1"/>
  <c r="V6" i="33"/>
  <c r="Q81" i="39" s="1"/>
  <c r="V17" i="33"/>
  <c r="Q92" i="39" s="1"/>
  <c r="V20" i="33"/>
  <c r="Q95" i="39" s="1"/>
  <c r="V16" i="33"/>
  <c r="Q91" i="39" s="1"/>
  <c r="V13" i="33"/>
  <c r="Q88" i="39" s="1"/>
  <c r="Q5" i="39"/>
  <c r="V14" i="26"/>
  <c r="Q13" i="39" s="1"/>
  <c r="V31" i="26"/>
  <c r="Q30" i="39" s="1"/>
  <c r="V30" i="26"/>
  <c r="Q29" i="39" s="1"/>
  <c r="V22" i="26"/>
  <c r="Q21" i="39" s="1"/>
  <c r="V35" i="26"/>
  <c r="Q34" i="39" s="1"/>
  <c r="V12" i="26"/>
  <c r="Q11" i="39" s="1"/>
  <c r="V37" i="26"/>
  <c r="Q36" i="39" s="1"/>
  <c r="V13" i="26"/>
  <c r="Q12" i="39" s="1"/>
  <c r="V28" i="26"/>
  <c r="Q27" i="39" s="1"/>
  <c r="V16" i="26"/>
  <c r="Q15" i="39" s="1"/>
  <c r="V21" i="26"/>
  <c r="Q20" i="39" s="1"/>
  <c r="V23" i="26"/>
  <c r="Q22" i="39" s="1"/>
  <c r="V17" i="26"/>
  <c r="Q16" i="39" s="1"/>
  <c r="V29" i="26"/>
  <c r="Q28" i="39" s="1"/>
  <c r="V18" i="26"/>
  <c r="Q17" i="39" s="1"/>
  <c r="Q9" i="39"/>
  <c r="V26" i="26"/>
  <c r="Q25" i="39" s="1"/>
  <c r="V33" i="26"/>
  <c r="Q32" i="39" s="1"/>
  <c r="V24" i="26"/>
  <c r="Q23" i="39" s="1"/>
  <c r="V32" i="26"/>
  <c r="Q31" i="39" s="1"/>
  <c r="V19" i="26"/>
  <c r="Q18" i="39" s="1"/>
  <c r="V25" i="26"/>
  <c r="Q24" i="39" s="1"/>
  <c r="V36" i="26"/>
  <c r="Q35" i="39" s="1"/>
  <c r="V34" i="26"/>
  <c r="Q33" i="39" s="1"/>
  <c r="V11" i="26"/>
  <c r="Q10" i="39" s="1"/>
  <c r="V20" i="26"/>
  <c r="Q19" i="39" s="1"/>
  <c r="AT13" i="33" l="1"/>
  <c r="AS88" i="39" s="1"/>
  <c r="AT14" i="22"/>
  <c r="AS45" i="39" s="1"/>
  <c r="AN15" i="22"/>
  <c r="AK46" i="39" s="1"/>
  <c r="AH46" i="39"/>
  <c r="AN35" i="22"/>
  <c r="AK66" i="39" s="1"/>
  <c r="AH66" i="39"/>
  <c r="AN26" i="22"/>
  <c r="AK57" i="39" s="1"/>
  <c r="AH57" i="39"/>
  <c r="AN27" i="22"/>
  <c r="AK58" i="39" s="1"/>
  <c r="AH58" i="39"/>
  <c r="AN34" i="22"/>
  <c r="AK65" i="39" s="1"/>
  <c r="AH65" i="39"/>
  <c r="AS15" i="26"/>
  <c r="AR14" i="39" s="1"/>
  <c r="Q14" i="39"/>
  <c r="AS27" i="26"/>
  <c r="AR26" i="39" s="1"/>
  <c r="Q26" i="39"/>
  <c r="AN29" i="22"/>
  <c r="AT21" i="33"/>
  <c r="AS96" i="39" s="1"/>
  <c r="AT20" i="33"/>
  <c r="AS95" i="39" s="1"/>
  <c r="AN12" i="33"/>
  <c r="AK87" i="39" s="1"/>
  <c r="AT19" i="33"/>
  <c r="AS94" i="39" s="1"/>
  <c r="AT17" i="33"/>
  <c r="AS92" i="39" s="1"/>
  <c r="AT18" i="33"/>
  <c r="AS93" i="39" s="1"/>
  <c r="AO18" i="33"/>
  <c r="AL93" i="39" s="1"/>
  <c r="AN16" i="33"/>
  <c r="AK91" i="39" s="1"/>
  <c r="AN15" i="33"/>
  <c r="AK90" i="39" s="1"/>
  <c r="AT14" i="33"/>
  <c r="AS89" i="39" s="1"/>
  <c r="AN28" i="22"/>
  <c r="AN12" i="32"/>
  <c r="AK73" i="39" s="1"/>
  <c r="AN16" i="32"/>
  <c r="AK77" i="39" s="1"/>
  <c r="AT14" i="32"/>
  <c r="AS75" i="39" s="1"/>
  <c r="AN19" i="32"/>
  <c r="AK80" i="39" s="1"/>
  <c r="AN13" i="32"/>
  <c r="AK74" i="39" s="1"/>
  <c r="AN15" i="32"/>
  <c r="AK76" i="39" s="1"/>
  <c r="AT21" i="22"/>
  <c r="AS52" i="39" s="1"/>
  <c r="AT33" i="22"/>
  <c r="AS64" i="39" s="1"/>
  <c r="AT19" i="22"/>
  <c r="AS50" i="39" s="1"/>
  <c r="AT31" i="22"/>
  <c r="AS62" i="39" s="1"/>
  <c r="AT17" i="22"/>
  <c r="AS48" i="39" s="1"/>
  <c r="AN18" i="22"/>
  <c r="AK49" i="39" s="1"/>
  <c r="AT20" i="22"/>
  <c r="AS51" i="39" s="1"/>
  <c r="AT16" i="22"/>
  <c r="AS47" i="39" s="1"/>
  <c r="AT24" i="22"/>
  <c r="AS55" i="39" s="1"/>
  <c r="AT23" i="22"/>
  <c r="AS54" i="39" s="1"/>
  <c r="AT22" i="22"/>
  <c r="AS53" i="39" s="1"/>
  <c r="AT32" i="22"/>
  <c r="AS63" i="39" s="1"/>
  <c r="AT30" i="22"/>
  <c r="AS61" i="39" s="1"/>
  <c r="AT25" i="22"/>
  <c r="AS56" i="39" s="1"/>
  <c r="AS15" i="32"/>
  <c r="AR76" i="39" s="1"/>
  <c r="AS16" i="32"/>
  <c r="AR77" i="39" s="1"/>
  <c r="AS6" i="32"/>
  <c r="AR67" i="39" s="1"/>
  <c r="W6" i="32"/>
  <c r="R67" i="39" s="1"/>
  <c r="AS9" i="32"/>
  <c r="AR70" i="39" s="1"/>
  <c r="AS13" i="32"/>
  <c r="AR74" i="39" s="1"/>
  <c r="AS10" i="32"/>
  <c r="AR71" i="39" s="1"/>
  <c r="AS8" i="32"/>
  <c r="AR69" i="39" s="1"/>
  <c r="AS11" i="32"/>
  <c r="AR72" i="39" s="1"/>
  <c r="AS19" i="32"/>
  <c r="AR80" i="39" s="1"/>
  <c r="AS14" i="32"/>
  <c r="AR75" i="39" s="1"/>
  <c r="W18" i="32"/>
  <c r="R79" i="39" s="1"/>
  <c r="AS18" i="32"/>
  <c r="AR79" i="39" s="1"/>
  <c r="AS7" i="32"/>
  <c r="AR68" i="39" s="1"/>
  <c r="AS12" i="32"/>
  <c r="AR73" i="39" s="1"/>
  <c r="W12" i="32"/>
  <c r="R73" i="39" s="1"/>
  <c r="AS17" i="32"/>
  <c r="AR78" i="39" s="1"/>
  <c r="AS18" i="22"/>
  <c r="AR49" i="39" s="1"/>
  <c r="AS28" i="22"/>
  <c r="AR59" i="39" s="1"/>
  <c r="AS35" i="22"/>
  <c r="AR66" i="39" s="1"/>
  <c r="AS26" i="22"/>
  <c r="AR57" i="39" s="1"/>
  <c r="AS25" i="22"/>
  <c r="AR56" i="39" s="1"/>
  <c r="AS22" i="22"/>
  <c r="AR53" i="39" s="1"/>
  <c r="W22" i="22"/>
  <c r="R53" i="39" s="1"/>
  <c r="AS9" i="22"/>
  <c r="AR40" i="39" s="1"/>
  <c r="AS21" i="22"/>
  <c r="AR52" i="39" s="1"/>
  <c r="AS29" i="22"/>
  <c r="AR60" i="39" s="1"/>
  <c r="AS13" i="22"/>
  <c r="AR44" i="39" s="1"/>
  <c r="AS19" i="22"/>
  <c r="AR50" i="39" s="1"/>
  <c r="AS20" i="22"/>
  <c r="AR51" i="39" s="1"/>
  <c r="AS23" i="22"/>
  <c r="AR54" i="39" s="1"/>
  <c r="AS34" i="22"/>
  <c r="AR65" i="39" s="1"/>
  <c r="AS31" i="22"/>
  <c r="AR62" i="39" s="1"/>
  <c r="AS15" i="22"/>
  <c r="AR46" i="39" s="1"/>
  <c r="AS16" i="22"/>
  <c r="AR47" i="39" s="1"/>
  <c r="AS32" i="22"/>
  <c r="AR63" i="39" s="1"/>
  <c r="AS8" i="22"/>
  <c r="AR39" i="39" s="1"/>
  <c r="AS12" i="22"/>
  <c r="AR43" i="39" s="1"/>
  <c r="AS30" i="22"/>
  <c r="AR61" i="39" s="1"/>
  <c r="AS10" i="22"/>
  <c r="AR41" i="39" s="1"/>
  <c r="AS11" i="22"/>
  <c r="AR42" i="39" s="1"/>
  <c r="AS24" i="22"/>
  <c r="AR55" i="39" s="1"/>
  <c r="AS17" i="22"/>
  <c r="AR48" i="39" s="1"/>
  <c r="AS33" i="22"/>
  <c r="AR64" i="39" s="1"/>
  <c r="AS7" i="22"/>
  <c r="AR38" i="39" s="1"/>
  <c r="AS6" i="22"/>
  <c r="AR37" i="39" s="1"/>
  <c r="W6" i="22"/>
  <c r="R37" i="39" s="1"/>
  <c r="AS14" i="22"/>
  <c r="AR45" i="39" s="1"/>
  <c r="W14" i="22"/>
  <c r="R45" i="39" s="1"/>
  <c r="AS27" i="22"/>
  <c r="AR58" i="39" s="1"/>
  <c r="AS14" i="33"/>
  <c r="AR89" i="39" s="1"/>
  <c r="AS20" i="33"/>
  <c r="AR95" i="39" s="1"/>
  <c r="AS9" i="33"/>
  <c r="AR84" i="39" s="1"/>
  <c r="AS10" i="33"/>
  <c r="AR85" i="39" s="1"/>
  <c r="AS7" i="33"/>
  <c r="AR82" i="39" s="1"/>
  <c r="AS13" i="33"/>
  <c r="AR88" i="39" s="1"/>
  <c r="AS17" i="33"/>
  <c r="AR92" i="39" s="1"/>
  <c r="AS11" i="33"/>
  <c r="AR86" i="39" s="1"/>
  <c r="AS19" i="33"/>
  <c r="AR94" i="39" s="1"/>
  <c r="AS6" i="33"/>
  <c r="AR81" i="39" s="1"/>
  <c r="W6" i="33"/>
  <c r="R81" i="39" s="1"/>
  <c r="AS8" i="33"/>
  <c r="AR83" i="39" s="1"/>
  <c r="AS15" i="33"/>
  <c r="AR90" i="39" s="1"/>
  <c r="AS16" i="33"/>
  <c r="AR91" i="39" s="1"/>
  <c r="AS12" i="33"/>
  <c r="AR87" i="39" s="1"/>
  <c r="W12" i="33"/>
  <c r="R87" i="39" s="1"/>
  <c r="AS21" i="33"/>
  <c r="AR96" i="39" s="1"/>
  <c r="AS18" i="33"/>
  <c r="AR93" i="39" s="1"/>
  <c r="W18" i="33"/>
  <c r="R93" i="39" s="1"/>
  <c r="AS34" i="26"/>
  <c r="AR33" i="39" s="1"/>
  <c r="AS8" i="26"/>
  <c r="AR7" i="39" s="1"/>
  <c r="AS37" i="26"/>
  <c r="AR36" i="39" s="1"/>
  <c r="AS36" i="26"/>
  <c r="AR35" i="39" s="1"/>
  <c r="AS19" i="26"/>
  <c r="AR18" i="39" s="1"/>
  <c r="AS26" i="26"/>
  <c r="AR25" i="39" s="1"/>
  <c r="AS17" i="26"/>
  <c r="AR16" i="39" s="1"/>
  <c r="AS28" i="26"/>
  <c r="AR27" i="39" s="1"/>
  <c r="AS12" i="26"/>
  <c r="AR11" i="39" s="1"/>
  <c r="AS31" i="26"/>
  <c r="AR30" i="39" s="1"/>
  <c r="AS16" i="26"/>
  <c r="AR15" i="39" s="1"/>
  <c r="AS30" i="26"/>
  <c r="AR29" i="39" s="1"/>
  <c r="AS20" i="26"/>
  <c r="AR19" i="39" s="1"/>
  <c r="AS25" i="26"/>
  <c r="AR24" i="39" s="1"/>
  <c r="AS32" i="26"/>
  <c r="AR31" i="39" s="1"/>
  <c r="AS10" i="26"/>
  <c r="AR9" i="39" s="1"/>
  <c r="AS23" i="26"/>
  <c r="AR22" i="39" s="1"/>
  <c r="AS9" i="26"/>
  <c r="AR8" i="39" s="1"/>
  <c r="AS35" i="26"/>
  <c r="AR34" i="39" s="1"/>
  <c r="AS14" i="26"/>
  <c r="AR13" i="39" s="1"/>
  <c r="W14" i="26"/>
  <c r="R13" i="39" s="1"/>
  <c r="AS29" i="26"/>
  <c r="AR28" i="39" s="1"/>
  <c r="AS33" i="26"/>
  <c r="AR32" i="39" s="1"/>
  <c r="AS11" i="26"/>
  <c r="AR10" i="39" s="1"/>
  <c r="AS7" i="26"/>
  <c r="AR6" i="39" s="1"/>
  <c r="AS24" i="26"/>
  <c r="AR23" i="39" s="1"/>
  <c r="AS18" i="26"/>
  <c r="AR17" i="39" s="1"/>
  <c r="AS21" i="26"/>
  <c r="AR20" i="39" s="1"/>
  <c r="AS13" i="26"/>
  <c r="AR12" i="39" s="1"/>
  <c r="AS22" i="26"/>
  <c r="AR21" i="39" s="1"/>
  <c r="W22" i="26"/>
  <c r="R21" i="39" s="1"/>
  <c r="AS6" i="26"/>
  <c r="AR5" i="39" s="1"/>
  <c r="W6" i="26"/>
  <c r="R5" i="39" s="1"/>
  <c r="AT15" i="22" l="1"/>
  <c r="AS46" i="39" s="1"/>
  <c r="AT26" i="22"/>
  <c r="AS57" i="39" s="1"/>
  <c r="AT34" i="22"/>
  <c r="AS65" i="39" s="1"/>
  <c r="AT35" i="22"/>
  <c r="AS66" i="39" s="1"/>
  <c r="AT29" i="22"/>
  <c r="AS60" i="39" s="1"/>
  <c r="AK60" i="39"/>
  <c r="AT27" i="22"/>
  <c r="AS58" i="39" s="1"/>
  <c r="AT28" i="22"/>
  <c r="AS59" i="39" s="1"/>
  <c r="AK59" i="39"/>
  <c r="AV8" i="22"/>
  <c r="AU39" i="39" s="1"/>
  <c r="AV11" i="22"/>
  <c r="AU42" i="39" s="1"/>
  <c r="AV9" i="22"/>
  <c r="AU40" i="39" s="1"/>
  <c r="AV14" i="22"/>
  <c r="AU45" i="39" s="1"/>
  <c r="AV10" i="22"/>
  <c r="AU41" i="39" s="1"/>
  <c r="AV13" i="22"/>
  <c r="AU44" i="39" s="1"/>
  <c r="AV6" i="22"/>
  <c r="AU37" i="39" s="1"/>
  <c r="AV12" i="22"/>
  <c r="AU43" i="39" s="1"/>
  <c r="AV7" i="22"/>
  <c r="AU38" i="39" s="1"/>
  <c r="AZ92" i="33"/>
  <c r="J54" i="33" s="1"/>
  <c r="AY92" i="33"/>
  <c r="I54" i="33" s="1"/>
  <c r="BD92" i="33"/>
  <c r="N54" i="33" s="1"/>
  <c r="AX92" i="33"/>
  <c r="H54" i="33" s="1"/>
  <c r="AX92" i="32"/>
  <c r="H54" i="32" s="1"/>
  <c r="AY92" i="32"/>
  <c r="I54" i="32" s="1"/>
  <c r="AZ92" i="32"/>
  <c r="J54" i="32" s="1"/>
  <c r="AX92" i="22"/>
  <c r="H54" i="22" s="1"/>
  <c r="AY92" i="22"/>
  <c r="I54" i="22" s="1"/>
  <c r="AZ92" i="22"/>
  <c r="J54" i="22" s="1"/>
  <c r="AZ92" i="26"/>
  <c r="J54" i="26" s="1"/>
  <c r="AY92" i="26"/>
  <c r="I54" i="26" s="1"/>
  <c r="AX92" i="26"/>
  <c r="H54" i="26" s="1"/>
  <c r="AV24" i="22"/>
  <c r="AU55" i="39" s="1"/>
  <c r="AV20" i="22"/>
  <c r="AU51" i="39" s="1"/>
  <c r="AV21" i="22"/>
  <c r="AU52" i="39" s="1"/>
  <c r="AV31" i="22"/>
  <c r="AU62" i="39" s="1"/>
  <c r="AV19" i="22"/>
  <c r="AU50" i="39" s="1"/>
  <c r="AV33" i="22"/>
  <c r="AU64" i="39" s="1"/>
  <c r="AV32" i="22"/>
  <c r="AU63" i="39" s="1"/>
  <c r="AV22" i="22"/>
  <c r="AU53" i="39" s="1"/>
  <c r="AV25" i="22"/>
  <c r="AU56" i="39" s="1"/>
  <c r="AV17" i="22"/>
  <c r="AU48" i="39" s="1"/>
  <c r="AV30" i="22"/>
  <c r="AU61" i="39" s="1"/>
  <c r="AV16" i="22"/>
  <c r="AU47" i="39" s="1"/>
  <c r="AV23" i="22"/>
  <c r="AU54" i="39" s="1"/>
  <c r="AO22" i="22"/>
  <c r="AL53" i="39" s="1"/>
  <c r="AT16" i="33"/>
  <c r="AS91" i="39" s="1"/>
  <c r="AT15" i="33"/>
  <c r="AS90" i="39" s="1"/>
  <c r="AT12" i="33"/>
  <c r="AS87" i="39" s="1"/>
  <c r="AO12" i="33"/>
  <c r="AL87" i="39" s="1"/>
  <c r="AT13" i="32"/>
  <c r="AS74" i="39" s="1"/>
  <c r="AT16" i="32"/>
  <c r="AS77" i="39" s="1"/>
  <c r="AT19" i="32"/>
  <c r="AS80" i="39" s="1"/>
  <c r="AO18" i="32"/>
  <c r="AL79" i="39" s="1"/>
  <c r="AT12" i="32"/>
  <c r="AS73" i="39" s="1"/>
  <c r="AO12" i="32"/>
  <c r="AL73" i="39" s="1"/>
  <c r="AT15" i="32"/>
  <c r="AS76" i="39" s="1"/>
  <c r="AT18" i="22"/>
  <c r="AS49" i="39" s="1"/>
  <c r="AO14" i="22"/>
  <c r="AL45" i="39" s="1"/>
  <c r="I26" i="44" a="1"/>
  <c r="H25" i="44" a="1"/>
  <c r="I25" i="44" a="1"/>
  <c r="J24" i="44" a="1"/>
  <c r="H24" i="44" a="1"/>
  <c r="J25" i="44" a="1"/>
  <c r="N27" i="44" a="1"/>
  <c r="I24" i="44" a="1"/>
  <c r="J27" i="44" a="1"/>
  <c r="I27" i="44" a="1"/>
  <c r="H27" i="44" a="1"/>
  <c r="J26" i="44" a="1"/>
  <c r="H26" i="44" a="1"/>
  <c r="AV34" i="22" l="1"/>
  <c r="AU65" i="39" s="1"/>
  <c r="AV29" i="22"/>
  <c r="AU60" i="39" s="1"/>
  <c r="AV15" i="22"/>
  <c r="AU46" i="39" s="1"/>
  <c r="AV27" i="22"/>
  <c r="AU58" i="39" s="1"/>
  <c r="AV26" i="22"/>
  <c r="AU57" i="39" s="1"/>
  <c r="AV28" i="22"/>
  <c r="AU59" i="39" s="1"/>
  <c r="AV35" i="22"/>
  <c r="AU66" i="39" s="1"/>
  <c r="AV18" i="22"/>
  <c r="AU49" i="39" s="1"/>
  <c r="I27" i="44"/>
  <c r="I25" i="44"/>
  <c r="I26" i="44"/>
  <c r="H25" i="44"/>
  <c r="H26" i="44"/>
  <c r="J27" i="44"/>
  <c r="H27" i="44"/>
  <c r="J25" i="44"/>
  <c r="J26" i="44"/>
  <c r="N27" i="44"/>
  <c r="J24" i="44"/>
  <c r="I24" i="44"/>
  <c r="H24" i="44"/>
  <c r="BC92" i="33"/>
  <c r="M54" i="33" s="1"/>
  <c r="BC92" i="32"/>
  <c r="M54" i="32" s="1"/>
  <c r="BD92" i="32"/>
  <c r="N54" i="32" s="1"/>
  <c r="BC92" i="22"/>
  <c r="M54" i="22" s="1"/>
  <c r="BD92" i="22"/>
  <c r="N54" i="22" s="1"/>
  <c r="AW6" i="22"/>
  <c r="AV37" i="39" s="1"/>
  <c r="N26" i="44" a="1"/>
  <c r="N25" i="44" a="1"/>
  <c r="M25" i="44" a="1"/>
  <c r="M27" i="44" a="1"/>
  <c r="M26" i="44" a="1"/>
  <c r="AW22" i="22" l="1"/>
  <c r="AV53" i="39" s="1"/>
  <c r="N25" i="44"/>
  <c r="M27" i="44"/>
  <c r="M25" i="44"/>
  <c r="N26" i="44"/>
  <c r="M26" i="44"/>
  <c r="AX6" i="22"/>
  <c r="AW37" i="39" s="1"/>
  <c r="AW14" i="22"/>
  <c r="AV45" i="39" s="1"/>
  <c r="C22" i="26"/>
  <c r="C23" i="26"/>
  <c r="C24" i="26"/>
  <c r="C25" i="26"/>
  <c r="AX22" i="22" l="1"/>
  <c r="AW53" i="39" s="1"/>
  <c r="AY6" i="22"/>
  <c r="AX37" i="39" s="1"/>
  <c r="AM92" i="22"/>
  <c r="E48" i="22" s="1"/>
  <c r="AX14" i="22"/>
  <c r="AW45" i="39" s="1"/>
  <c r="AI32" i="26"/>
  <c r="AF31" i="39" s="1"/>
  <c r="AI27" i="26"/>
  <c r="AF26" i="39" s="1"/>
  <c r="AI20" i="26"/>
  <c r="AF19" i="39" s="1"/>
  <c r="AI25" i="26"/>
  <c r="AF24" i="39" s="1"/>
  <c r="AI24" i="26"/>
  <c r="AF23" i="39" s="1"/>
  <c r="AI21" i="26"/>
  <c r="AF20" i="39" s="1"/>
  <c r="AI31" i="26"/>
  <c r="AF30" i="39" s="1"/>
  <c r="AI28" i="26"/>
  <c r="AF27" i="39" s="1"/>
  <c r="AI17" i="26"/>
  <c r="AF16" i="39" s="1"/>
  <c r="AI23" i="26"/>
  <c r="AF22" i="39" s="1"/>
  <c r="AI16" i="26"/>
  <c r="AF15" i="39" s="1"/>
  <c r="AI22" i="26"/>
  <c r="AF21" i="39" s="1"/>
  <c r="AF31" i="26"/>
  <c r="AC30" i="39" s="1"/>
  <c r="AF30" i="26"/>
  <c r="AC29" i="39" s="1"/>
  <c r="AI26" i="26"/>
  <c r="AF25" i="39" s="1"/>
  <c r="AI19" i="26"/>
  <c r="AF18" i="39" s="1"/>
  <c r="AI18" i="26"/>
  <c r="AF17" i="39" s="1"/>
  <c r="AF29" i="26"/>
  <c r="AC28" i="39" s="1"/>
  <c r="AF34" i="26"/>
  <c r="AC33" i="39" s="1"/>
  <c r="AF14" i="26"/>
  <c r="AC13" i="39" s="1"/>
  <c r="AI33" i="26"/>
  <c r="AF32" i="39" s="1"/>
  <c r="AI37" i="26"/>
  <c r="AF36" i="39" s="1"/>
  <c r="AI36" i="26"/>
  <c r="AF35" i="39" s="1"/>
  <c r="AF35" i="26"/>
  <c r="AC34" i="39" s="1"/>
  <c r="AF33" i="26"/>
  <c r="AC32" i="39" s="1"/>
  <c r="AI30" i="26"/>
  <c r="AF29" i="39" s="1"/>
  <c r="AF21" i="26"/>
  <c r="AC20" i="39" s="1"/>
  <c r="AF32" i="26"/>
  <c r="AC31" i="39" s="1"/>
  <c r="AI29" i="26"/>
  <c r="AF28" i="39" s="1"/>
  <c r="AF28" i="26"/>
  <c r="AC27" i="39" s="1"/>
  <c r="AF27" i="26"/>
  <c r="AC26" i="39" s="1"/>
  <c r="AF26" i="26"/>
  <c r="AC25" i="39" s="1"/>
  <c r="AF20" i="26"/>
  <c r="AC19" i="39" s="1"/>
  <c r="AF18" i="26"/>
  <c r="AC17" i="39" s="1"/>
  <c r="AF17" i="26"/>
  <c r="AC16" i="39" s="1"/>
  <c r="AI15" i="26"/>
  <c r="AF14" i="39" s="1"/>
  <c r="AI14" i="26"/>
  <c r="AF13" i="39" s="1"/>
  <c r="AF25" i="26"/>
  <c r="AC24" i="39" s="1"/>
  <c r="AF24" i="26"/>
  <c r="AC23" i="39" s="1"/>
  <c r="AF23" i="26"/>
  <c r="AC22" i="39" s="1"/>
  <c r="AF16" i="26"/>
  <c r="AC15" i="39" s="1"/>
  <c r="AF37" i="26"/>
  <c r="AC36" i="39" s="1"/>
  <c r="AI35" i="26"/>
  <c r="AF34" i="39" s="1"/>
  <c r="AF36" i="26"/>
  <c r="AC35" i="39" s="1"/>
  <c r="AI34" i="26"/>
  <c r="AF33" i="39" s="1"/>
  <c r="AF22" i="26"/>
  <c r="AC21" i="39" s="1"/>
  <c r="E15" i="44" a="1"/>
  <c r="AO92" i="22" l="1"/>
  <c r="G48" i="22" s="1"/>
  <c r="AK92" i="22"/>
  <c r="C48" i="22" s="1"/>
  <c r="E15" i="44"/>
  <c r="AN92" i="22"/>
  <c r="F48" i="22" s="1"/>
  <c r="AK23" i="26"/>
  <c r="AH22" i="39" s="1"/>
  <c r="AK24" i="26"/>
  <c r="AH23" i="39" s="1"/>
  <c r="AJ26" i="26"/>
  <c r="AG25" i="39" s="1"/>
  <c r="AJ31" i="26"/>
  <c r="AG30" i="39" s="1"/>
  <c r="AK22" i="26"/>
  <c r="AH21" i="39" s="1"/>
  <c r="AK25" i="26"/>
  <c r="AH24" i="39" s="1"/>
  <c r="AK28" i="26"/>
  <c r="AH27" i="39" s="1"/>
  <c r="AJ14" i="26"/>
  <c r="AG13" i="39" s="1"/>
  <c r="AJ29" i="26"/>
  <c r="AG28" i="39" s="1"/>
  <c r="AJ33" i="26"/>
  <c r="AG32" i="39" s="1"/>
  <c r="AK36" i="26"/>
  <c r="AH35" i="39" s="1"/>
  <c r="AJ15" i="26"/>
  <c r="AG14" i="39" s="1"/>
  <c r="AK32" i="26"/>
  <c r="AH31" i="39" s="1"/>
  <c r="AJ19" i="26"/>
  <c r="AG18" i="39" s="1"/>
  <c r="AK17" i="26"/>
  <c r="AH16" i="39" s="1"/>
  <c r="AK21" i="26"/>
  <c r="AH20" i="39" s="1"/>
  <c r="AK34" i="26"/>
  <c r="AH33" i="39" s="1"/>
  <c r="AK35" i="26"/>
  <c r="AH34" i="39" s="1"/>
  <c r="AK37" i="26"/>
  <c r="AH36" i="39" s="1"/>
  <c r="AJ30" i="26"/>
  <c r="AG29" i="39" s="1"/>
  <c r="AJ27" i="26"/>
  <c r="AG26" i="39" s="1"/>
  <c r="AK16" i="26"/>
  <c r="AH15" i="39" s="1"/>
  <c r="AK20" i="26"/>
  <c r="AH19" i="39" s="1"/>
  <c r="AJ18" i="26"/>
  <c r="AG17" i="39" s="1"/>
  <c r="E20" i="35"/>
  <c r="C15" i="44" a="1"/>
  <c r="F15" i="44" a="1"/>
  <c r="G15" i="44" a="1"/>
  <c r="BK35" i="44" a="1"/>
  <c r="BK35" i="44" l="1"/>
  <c r="C15" i="44"/>
  <c r="G15" i="44"/>
  <c r="F15" i="44"/>
  <c r="AK26" i="26"/>
  <c r="AH25" i="39" s="1"/>
  <c r="AK31" i="26"/>
  <c r="AK14" i="26"/>
  <c r="AH13" i="39" s="1"/>
  <c r="AK30" i="26"/>
  <c r="AK18" i="26"/>
  <c r="AK33" i="26"/>
  <c r="AK27" i="26"/>
  <c r="AK29" i="26"/>
  <c r="AH28" i="39" s="1"/>
  <c r="AN21" i="26"/>
  <c r="AK20" i="39" s="1"/>
  <c r="AK15" i="26"/>
  <c r="AH14" i="39" s="1"/>
  <c r="AN28" i="26"/>
  <c r="AK27" i="39" s="1"/>
  <c r="AN20" i="26"/>
  <c r="AK19" i="39" s="1"/>
  <c r="AN37" i="26"/>
  <c r="AK36" i="39" s="1"/>
  <c r="AN17" i="26"/>
  <c r="AK16" i="39" s="1"/>
  <c r="AN36" i="26"/>
  <c r="AK35" i="39" s="1"/>
  <c r="AN16" i="26"/>
  <c r="AK15" i="39" s="1"/>
  <c r="AN35" i="26"/>
  <c r="AK34" i="39" s="1"/>
  <c r="AK19" i="26"/>
  <c r="AH18" i="39" s="1"/>
  <c r="AN25" i="26"/>
  <c r="AK24" i="39" s="1"/>
  <c r="AN24" i="26"/>
  <c r="AK23" i="39" s="1"/>
  <c r="AN34" i="26"/>
  <c r="AK33" i="39" s="1"/>
  <c r="AN32" i="26"/>
  <c r="AK31" i="39" s="1"/>
  <c r="AN22" i="26"/>
  <c r="AK21" i="39" s="1"/>
  <c r="AN23" i="26"/>
  <c r="AK22" i="39" s="1"/>
  <c r="C18" i="32"/>
  <c r="C18" i="33"/>
  <c r="C18" i="22"/>
  <c r="AN27" i="26" l="1"/>
  <c r="AK26" i="39" s="1"/>
  <c r="AH26" i="39"/>
  <c r="AN33" i="26"/>
  <c r="AK32" i="39" s="1"/>
  <c r="AH32" i="39"/>
  <c r="AN18" i="26"/>
  <c r="AK17" i="39" s="1"/>
  <c r="AH17" i="39"/>
  <c r="AN30" i="26"/>
  <c r="AK29" i="39" s="1"/>
  <c r="AH29" i="39"/>
  <c r="AN31" i="26"/>
  <c r="AK30" i="39" s="1"/>
  <c r="AH30" i="39"/>
  <c r="AN26" i="26"/>
  <c r="AK25" i="39" s="1"/>
  <c r="AN14" i="26"/>
  <c r="AK13" i="39" s="1"/>
  <c r="AT25" i="26"/>
  <c r="AS24" i="39" s="1"/>
  <c r="AN29" i="26"/>
  <c r="AK28" i="39" s="1"/>
  <c r="AT34" i="26"/>
  <c r="AS33" i="39" s="1"/>
  <c r="AN19" i="26"/>
  <c r="AK18" i="39" s="1"/>
  <c r="AT17" i="26"/>
  <c r="AS16" i="39" s="1"/>
  <c r="AN15" i="26"/>
  <c r="AK14" i="39" s="1"/>
  <c r="AT32" i="26"/>
  <c r="AS31" i="39" s="1"/>
  <c r="AT37" i="26"/>
  <c r="AS36" i="39" s="1"/>
  <c r="AT21" i="26"/>
  <c r="AS20" i="39" s="1"/>
  <c r="AT22" i="26"/>
  <c r="AS21" i="39" s="1"/>
  <c r="AT24" i="26"/>
  <c r="AS23" i="39" s="1"/>
  <c r="AT16" i="26"/>
  <c r="AS15" i="39" s="1"/>
  <c r="AT20" i="26"/>
  <c r="AS19" i="39" s="1"/>
  <c r="AT28" i="26"/>
  <c r="AS27" i="39" s="1"/>
  <c r="AT36" i="26"/>
  <c r="AS35" i="39" s="1"/>
  <c r="AT23" i="26"/>
  <c r="AS22" i="39" s="1"/>
  <c r="AT35" i="26"/>
  <c r="AS34" i="39" s="1"/>
  <c r="AT18" i="26" l="1"/>
  <c r="AS17" i="39" s="1"/>
  <c r="AT27" i="26"/>
  <c r="AS26" i="39" s="1"/>
  <c r="AT31" i="26"/>
  <c r="AS30" i="39" s="1"/>
  <c r="AT30" i="26"/>
  <c r="AS29" i="39" s="1"/>
  <c r="AT33" i="26"/>
  <c r="AS32" i="39" s="1"/>
  <c r="AT26" i="26"/>
  <c r="AS25" i="39" s="1"/>
  <c r="AO22" i="26"/>
  <c r="AL21" i="39" s="1"/>
  <c r="AT14" i="26"/>
  <c r="AS13" i="39" s="1"/>
  <c r="AO14" i="26"/>
  <c r="AL13" i="39" s="1"/>
  <c r="AT19" i="26"/>
  <c r="AS18" i="39" s="1"/>
  <c r="AT15" i="26"/>
  <c r="AS14" i="39" s="1"/>
  <c r="AT29" i="26"/>
  <c r="AS28" i="39" s="1"/>
  <c r="BD92" i="26" l="1"/>
  <c r="N54" i="26" s="1"/>
  <c r="BC92" i="26"/>
  <c r="M54" i="26" s="1"/>
  <c r="M24" i="44" a="1"/>
  <c r="N24" i="44" a="1"/>
  <c r="N24" i="44" l="1"/>
  <c r="M24" i="44"/>
  <c r="C6" i="26" l="1"/>
  <c r="C7" i="26"/>
  <c r="C8" i="26"/>
  <c r="C9" i="26"/>
  <c r="C10" i="26"/>
  <c r="C11" i="26"/>
  <c r="C12" i="26"/>
  <c r="C13" i="26"/>
  <c r="C14" i="26"/>
  <c r="C15" i="26"/>
  <c r="C16" i="26"/>
  <c r="C17" i="26"/>
  <c r="M9" i="33" l="1"/>
  <c r="M15" i="33"/>
  <c r="M10" i="33"/>
  <c r="M11" i="33"/>
  <c r="M17" i="33"/>
  <c r="M13" i="33"/>
  <c r="M19" i="33"/>
  <c r="M18" i="33"/>
  <c r="M14" i="33"/>
  <c r="M16" i="33"/>
  <c r="M12" i="33"/>
  <c r="M6" i="33"/>
  <c r="M20" i="33"/>
  <c r="M21" i="33"/>
  <c r="M7" i="33"/>
  <c r="M8" i="33"/>
  <c r="M11" i="26"/>
  <c r="M10" i="26"/>
  <c r="M20" i="26"/>
  <c r="M34" i="26"/>
  <c r="M24" i="26"/>
  <c r="M9" i="26"/>
  <c r="M30" i="26"/>
  <c r="M25" i="26"/>
  <c r="M8" i="26"/>
  <c r="M33" i="26"/>
  <c r="M19" i="26"/>
  <c r="M18" i="26"/>
  <c r="M37" i="26"/>
  <c r="M7" i="26"/>
  <c r="M29" i="26"/>
  <c r="M28" i="26"/>
  <c r="M23" i="26"/>
  <c r="M6" i="26"/>
  <c r="M17" i="26"/>
  <c r="M16" i="26"/>
  <c r="M36" i="26"/>
  <c r="M35" i="26"/>
  <c r="M32" i="26"/>
  <c r="M31" i="26"/>
  <c r="M15" i="26"/>
  <c r="M22" i="26"/>
  <c r="M13" i="26"/>
  <c r="M27" i="26"/>
  <c r="M26" i="26"/>
  <c r="M14" i="26"/>
  <c r="M21" i="26"/>
  <c r="M12" i="26"/>
  <c r="E21" i="39" l="1"/>
  <c r="E5" i="39"/>
  <c r="E71" i="39"/>
  <c r="E87" i="39"/>
  <c r="E85" i="39"/>
  <c r="E79" i="39"/>
  <c r="E74" i="39"/>
  <c r="E96" i="39"/>
  <c r="E94" i="39"/>
  <c r="E90" i="39"/>
  <c r="E86" i="39"/>
  <c r="E80" i="39"/>
  <c r="E77" i="39"/>
  <c r="E67" i="39"/>
  <c r="E95" i="39"/>
  <c r="E91" i="39"/>
  <c r="E88" i="39"/>
  <c r="E68" i="39"/>
  <c r="E93" i="39"/>
  <c r="E13" i="39"/>
  <c r="E78" i="39"/>
  <c r="E75" i="39"/>
  <c r="E84" i="39"/>
  <c r="E69" i="39"/>
  <c r="E82" i="39"/>
  <c r="E76" i="39"/>
  <c r="E89" i="39"/>
  <c r="E72" i="39"/>
  <c r="E73" i="39"/>
  <c r="E70" i="39"/>
  <c r="E83" i="39"/>
  <c r="E81" i="39"/>
  <c r="E92" i="39"/>
  <c r="AR13" i="26"/>
  <c r="AQ12" i="39" s="1"/>
  <c r="E12" i="39"/>
  <c r="AR17" i="26"/>
  <c r="AQ16" i="39" s="1"/>
  <c r="E16" i="39"/>
  <c r="AR19" i="26"/>
  <c r="AQ18" i="39" s="1"/>
  <c r="E18" i="39"/>
  <c r="AR20" i="26"/>
  <c r="AQ19" i="39" s="1"/>
  <c r="E19" i="39"/>
  <c r="AR33" i="26"/>
  <c r="AQ32" i="39" s="1"/>
  <c r="E32" i="39"/>
  <c r="AR10" i="26"/>
  <c r="AQ9" i="39" s="1"/>
  <c r="E9" i="39"/>
  <c r="AR15" i="26"/>
  <c r="AQ14" i="39" s="1"/>
  <c r="E14" i="39"/>
  <c r="AR23" i="26"/>
  <c r="AQ22" i="39" s="1"/>
  <c r="E22" i="39"/>
  <c r="AR8" i="26"/>
  <c r="AQ7" i="39" s="1"/>
  <c r="E7" i="39"/>
  <c r="AR11" i="26"/>
  <c r="AQ10" i="39" s="1"/>
  <c r="E10" i="39"/>
  <c r="AR12" i="26"/>
  <c r="AQ11" i="39" s="1"/>
  <c r="E11" i="39"/>
  <c r="AR31" i="26"/>
  <c r="AQ30" i="39" s="1"/>
  <c r="E30" i="39"/>
  <c r="AR28" i="26"/>
  <c r="AQ27" i="39" s="1"/>
  <c r="E27" i="39"/>
  <c r="AR25" i="26"/>
  <c r="AQ24" i="39" s="1"/>
  <c r="E24" i="39"/>
  <c r="AR21" i="26"/>
  <c r="AQ20" i="39" s="1"/>
  <c r="E20" i="39"/>
  <c r="AR32" i="26"/>
  <c r="AQ31" i="39" s="1"/>
  <c r="E31" i="39"/>
  <c r="AR29" i="26"/>
  <c r="AQ28" i="39" s="1"/>
  <c r="E28" i="39"/>
  <c r="AR30" i="26"/>
  <c r="AQ29" i="39" s="1"/>
  <c r="E29" i="39"/>
  <c r="AR35" i="26"/>
  <c r="AQ34" i="39" s="1"/>
  <c r="E34" i="39"/>
  <c r="AR7" i="26"/>
  <c r="AQ6" i="39" s="1"/>
  <c r="E6" i="39"/>
  <c r="AR9" i="26"/>
  <c r="AQ8" i="39" s="1"/>
  <c r="E8" i="39"/>
  <c r="AR26" i="26"/>
  <c r="AQ25" i="39" s="1"/>
  <c r="E25" i="39"/>
  <c r="AR36" i="26"/>
  <c r="AQ35" i="39" s="1"/>
  <c r="E35" i="39"/>
  <c r="AR37" i="26"/>
  <c r="AQ36" i="39" s="1"/>
  <c r="E36" i="39"/>
  <c r="AR24" i="26"/>
  <c r="AQ23" i="39" s="1"/>
  <c r="E23" i="39"/>
  <c r="AR27" i="26"/>
  <c r="AQ26" i="39" s="1"/>
  <c r="E26" i="39"/>
  <c r="AR16" i="26"/>
  <c r="AQ15" i="39" s="1"/>
  <c r="E15" i="39"/>
  <c r="AR18" i="26"/>
  <c r="AQ17" i="39" s="1"/>
  <c r="E17" i="39"/>
  <c r="AR34" i="26"/>
  <c r="AQ33" i="39" s="1"/>
  <c r="E33" i="39"/>
  <c r="AR7" i="33"/>
  <c r="AQ82" i="39" s="1"/>
  <c r="AR18" i="33"/>
  <c r="AQ93" i="39" s="1"/>
  <c r="N18" i="33"/>
  <c r="AR11" i="33"/>
  <c r="AQ86" i="39" s="1"/>
  <c r="N12" i="33"/>
  <c r="AR12" i="33"/>
  <c r="AQ87" i="39" s="1"/>
  <c r="AR10" i="33"/>
  <c r="AQ85" i="39" s="1"/>
  <c r="AR15" i="33"/>
  <c r="AQ90" i="39" s="1"/>
  <c r="AR20" i="33"/>
  <c r="AQ95" i="39" s="1"/>
  <c r="AR16" i="33"/>
  <c r="AQ91" i="39" s="1"/>
  <c r="AR13" i="33"/>
  <c r="AQ88" i="39" s="1"/>
  <c r="AR9" i="33"/>
  <c r="AQ84" i="39" s="1"/>
  <c r="AR21" i="33"/>
  <c r="AQ96" i="39" s="1"/>
  <c r="AR19" i="33"/>
  <c r="AQ94" i="39" s="1"/>
  <c r="AR14" i="33"/>
  <c r="AQ89" i="39" s="1"/>
  <c r="AR8" i="33"/>
  <c r="AQ83" i="39" s="1"/>
  <c r="N6" i="33"/>
  <c r="AR6" i="33"/>
  <c r="AQ81" i="39" s="1"/>
  <c r="AR17" i="33"/>
  <c r="AQ92" i="39" s="1"/>
  <c r="AR10" i="32"/>
  <c r="AQ71" i="39" s="1"/>
  <c r="AR18" i="32"/>
  <c r="AQ79" i="39" s="1"/>
  <c r="AR13" i="32"/>
  <c r="AQ74" i="39" s="1"/>
  <c r="AR8" i="32"/>
  <c r="AQ69" i="39" s="1"/>
  <c r="AR19" i="32"/>
  <c r="AQ80" i="39" s="1"/>
  <c r="AR16" i="32"/>
  <c r="AQ77" i="39" s="1"/>
  <c r="AR6" i="32"/>
  <c r="AQ67" i="39" s="1"/>
  <c r="AR17" i="32"/>
  <c r="AQ78" i="39" s="1"/>
  <c r="AR14" i="32"/>
  <c r="AQ75" i="39" s="1"/>
  <c r="AR7" i="32"/>
  <c r="AQ68" i="39" s="1"/>
  <c r="AR15" i="32"/>
  <c r="AQ76" i="39" s="1"/>
  <c r="AR11" i="32"/>
  <c r="AQ72" i="39" s="1"/>
  <c r="AR12" i="32"/>
  <c r="AQ73" i="39" s="1"/>
  <c r="AR9" i="32"/>
  <c r="AQ70" i="39" s="1"/>
  <c r="AR22" i="26"/>
  <c r="AQ21" i="39" s="1"/>
  <c r="N22" i="26"/>
  <c r="AR6" i="26"/>
  <c r="AQ5" i="39" s="1"/>
  <c r="N6" i="26"/>
  <c r="AT92" i="22" s="1"/>
  <c r="D54" i="22" s="1"/>
  <c r="AR14" i="26"/>
  <c r="AQ13" i="39" s="1"/>
  <c r="N14" i="26"/>
  <c r="C18" i="26"/>
  <c r="F42" i="26"/>
  <c r="D25" i="44" a="1"/>
  <c r="AV14" i="26" l="1"/>
  <c r="AU13" i="39" s="1"/>
  <c r="AV12" i="33"/>
  <c r="AU87" i="39" s="1"/>
  <c r="AV17" i="32"/>
  <c r="AU78" i="39" s="1"/>
  <c r="AV18" i="32"/>
  <c r="AU79" i="39" s="1"/>
  <c r="AV21" i="33"/>
  <c r="AU96" i="39" s="1"/>
  <c r="AV18" i="26"/>
  <c r="AU17" i="39" s="1"/>
  <c r="AV37" i="26"/>
  <c r="AU36" i="39" s="1"/>
  <c r="AV7" i="26"/>
  <c r="AU6" i="39" s="1"/>
  <c r="AV32" i="26"/>
  <c r="AU31" i="39" s="1"/>
  <c r="AV31" i="26"/>
  <c r="AU30" i="39" s="1"/>
  <c r="AV23" i="26"/>
  <c r="AU22" i="39" s="1"/>
  <c r="AV20" i="26"/>
  <c r="AU19" i="39" s="1"/>
  <c r="AV19" i="33"/>
  <c r="AU94" i="39" s="1"/>
  <c r="AV6" i="26"/>
  <c r="AU5" i="39" s="1"/>
  <c r="AV9" i="32"/>
  <c r="AU70" i="39" s="1"/>
  <c r="AV6" i="32"/>
  <c r="AU67" i="39" s="1"/>
  <c r="AV10" i="32"/>
  <c r="AU71" i="39" s="1"/>
  <c r="AV9" i="33"/>
  <c r="AU84" i="39" s="1"/>
  <c r="AV11" i="33"/>
  <c r="AU86" i="39" s="1"/>
  <c r="AV17" i="33"/>
  <c r="AU92" i="39" s="1"/>
  <c r="AV13" i="33"/>
  <c r="AU88" i="39" s="1"/>
  <c r="AV16" i="26"/>
  <c r="AU15" i="39" s="1"/>
  <c r="AV36" i="26"/>
  <c r="AU35" i="39" s="1"/>
  <c r="AV35" i="26"/>
  <c r="AU34" i="39" s="1"/>
  <c r="AV21" i="26"/>
  <c r="AU20" i="39" s="1"/>
  <c r="AV12" i="26"/>
  <c r="AU11" i="39" s="1"/>
  <c r="AV15" i="26"/>
  <c r="AU14" i="39" s="1"/>
  <c r="AV19" i="26"/>
  <c r="AU18" i="39" s="1"/>
  <c r="AV14" i="32"/>
  <c r="AU75" i="39" s="1"/>
  <c r="AV22" i="26"/>
  <c r="AU21" i="39" s="1"/>
  <c r="AV12" i="32"/>
  <c r="AU73" i="39" s="1"/>
  <c r="AV16" i="32"/>
  <c r="AU77" i="39" s="1"/>
  <c r="AV6" i="33"/>
  <c r="AU81" i="39" s="1"/>
  <c r="AV16" i="33"/>
  <c r="AU91" i="39" s="1"/>
  <c r="AV18" i="33"/>
  <c r="AU93" i="39" s="1"/>
  <c r="AV11" i="32"/>
  <c r="AU72" i="39" s="1"/>
  <c r="AV19" i="32"/>
  <c r="AU80" i="39" s="1"/>
  <c r="AV20" i="33"/>
  <c r="AU95" i="39" s="1"/>
  <c r="AV7" i="33"/>
  <c r="AU82" i="39" s="1"/>
  <c r="AV27" i="26"/>
  <c r="AU26" i="39" s="1"/>
  <c r="AV26" i="26"/>
  <c r="AU25" i="39" s="1"/>
  <c r="AV30" i="26"/>
  <c r="AU29" i="39" s="1"/>
  <c r="AV25" i="26"/>
  <c r="AU24" i="39" s="1"/>
  <c r="AV11" i="26"/>
  <c r="AU10" i="39" s="1"/>
  <c r="AV10" i="26"/>
  <c r="AU9" i="39" s="1"/>
  <c r="AV17" i="26"/>
  <c r="AU16" i="39" s="1"/>
  <c r="AV15" i="32"/>
  <c r="AU76" i="39" s="1"/>
  <c r="AV8" i="32"/>
  <c r="AU69" i="39" s="1"/>
  <c r="AV8" i="33"/>
  <c r="AU83" i="39" s="1"/>
  <c r="AV15" i="33"/>
  <c r="AU90" i="39" s="1"/>
  <c r="AV7" i="32"/>
  <c r="AU68" i="39" s="1"/>
  <c r="AV13" i="32"/>
  <c r="AU74" i="39" s="1"/>
  <c r="AV14" i="33"/>
  <c r="AU89" i="39" s="1"/>
  <c r="AV10" i="33"/>
  <c r="AU85" i="39" s="1"/>
  <c r="AV34" i="26"/>
  <c r="AU33" i="39" s="1"/>
  <c r="AV24" i="26"/>
  <c r="AU23" i="39" s="1"/>
  <c r="AV9" i="26"/>
  <c r="AU8" i="39" s="1"/>
  <c r="AV29" i="26"/>
  <c r="AU28" i="39" s="1"/>
  <c r="AV28" i="26"/>
  <c r="AU27" i="39" s="1"/>
  <c r="AV8" i="26"/>
  <c r="AU7" i="39" s="1"/>
  <c r="AV33" i="26"/>
  <c r="AU32" i="39" s="1"/>
  <c r="AV13" i="26"/>
  <c r="AU12" i="39" s="1"/>
  <c r="D25" i="44"/>
  <c r="AU92" i="33"/>
  <c r="E54" i="33" s="1"/>
  <c r="AV92" i="33"/>
  <c r="F54" i="33" s="1"/>
  <c r="AT92" i="33"/>
  <c r="D54" i="33" s="1"/>
  <c r="AU92" i="32"/>
  <c r="E54" i="32" s="1"/>
  <c r="AT92" i="32"/>
  <c r="D54" i="32" s="1"/>
  <c r="AV92" i="32"/>
  <c r="F54" i="32" s="1"/>
  <c r="AV92" i="22"/>
  <c r="F54" i="22" s="1"/>
  <c r="AU92" i="22"/>
  <c r="E54" i="22" s="1"/>
  <c r="F73" i="39"/>
  <c r="F93" i="39"/>
  <c r="F79" i="39"/>
  <c r="F81" i="39"/>
  <c r="F87" i="39"/>
  <c r="F67" i="39"/>
  <c r="F5" i="39"/>
  <c r="F21" i="39"/>
  <c r="G21" i="39" s="1"/>
  <c r="F13" i="39"/>
  <c r="D27" i="44" a="1"/>
  <c r="D26" i="44" a="1"/>
  <c r="F25" i="44" a="1"/>
  <c r="F27" i="44" a="1"/>
  <c r="F26" i="44" a="1"/>
  <c r="E26" i="44" a="1"/>
  <c r="E27" i="44" a="1"/>
  <c r="E25" i="44" a="1"/>
  <c r="E27" i="44" l="1"/>
  <c r="E26" i="44"/>
  <c r="F25" i="44"/>
  <c r="F26" i="44"/>
  <c r="D26" i="44"/>
  <c r="D27" i="44"/>
  <c r="F27" i="44"/>
  <c r="E25" i="44"/>
  <c r="AW18" i="32"/>
  <c r="AV79" i="39" s="1"/>
  <c r="AW12" i="32"/>
  <c r="AV73" i="39" s="1"/>
  <c r="AW6" i="32"/>
  <c r="AV67" i="39" s="1"/>
  <c r="AW12" i="33"/>
  <c r="AV87" i="39" s="1"/>
  <c r="AW14" i="26"/>
  <c r="AV13" i="39" s="1"/>
  <c r="AW6" i="26"/>
  <c r="AV5" i="39" s="1"/>
  <c r="AW22" i="26"/>
  <c r="AV21" i="39" s="1"/>
  <c r="AW18" i="33"/>
  <c r="AV93" i="39" s="1"/>
  <c r="AW6" i="33"/>
  <c r="AV81" i="39" s="1"/>
  <c r="G67" i="39"/>
  <c r="G81" i="39"/>
  <c r="G93" i="39"/>
  <c r="G37" i="39"/>
  <c r="G53" i="39"/>
  <c r="G5" i="39"/>
  <c r="G79" i="39"/>
  <c r="G87" i="39"/>
  <c r="G13" i="39"/>
  <c r="G73" i="39"/>
  <c r="G45" i="39"/>
  <c r="AX18" i="33" l="1"/>
  <c r="AW93" i="39" s="1"/>
  <c r="AX22" i="26"/>
  <c r="AW21" i="39" s="1"/>
  <c r="AX6" i="26"/>
  <c r="AW5" i="39" s="1"/>
  <c r="AX18" i="32"/>
  <c r="AW79" i="39" s="1"/>
  <c r="AX12" i="32"/>
  <c r="AW73" i="39" s="1"/>
  <c r="AY6" i="32"/>
  <c r="AX67" i="39" s="1"/>
  <c r="AX6" i="32"/>
  <c r="AW67" i="39" s="1"/>
  <c r="AX12" i="33"/>
  <c r="AW87" i="39" s="1"/>
  <c r="AX14" i="26"/>
  <c r="AW13" i="39" s="1"/>
  <c r="AY6" i="26"/>
  <c r="AX5" i="39" s="1"/>
  <c r="AX6" i="33"/>
  <c r="AW81" i="39" s="1"/>
  <c r="AY6" i="33"/>
  <c r="AX81" i="39" s="1"/>
  <c r="AO92" i="33" l="1"/>
  <c r="G48" i="33" s="1"/>
  <c r="AM92" i="26"/>
  <c r="E48" i="26" s="1"/>
  <c r="AO92" i="26"/>
  <c r="G48" i="26" s="1"/>
  <c r="AO92" i="32"/>
  <c r="G48" i="32" s="1"/>
  <c r="AM92" i="33"/>
  <c r="E48" i="33" s="1"/>
  <c r="AN92" i="33"/>
  <c r="F48" i="33" s="1"/>
  <c r="AK92" i="33"/>
  <c r="C48" i="33" s="1"/>
  <c r="AK92" i="32"/>
  <c r="C48" i="32" s="1"/>
  <c r="AN92" i="32"/>
  <c r="F48" i="32" s="1"/>
  <c r="AM92" i="32"/>
  <c r="E48" i="32" s="1"/>
  <c r="AN92" i="26"/>
  <c r="F48" i="26" s="1"/>
  <c r="AK92" i="26"/>
  <c r="C48" i="26" s="1"/>
  <c r="BM34" i="44" a="1"/>
  <c r="F16" i="44" a="1"/>
  <c r="E17" i="44" a="1"/>
  <c r="C17" i="44" a="1"/>
  <c r="BN36" i="44" a="1"/>
  <c r="C14" i="44" a="1"/>
  <c r="BK34" i="44" a="1"/>
  <c r="BO37" i="44" a="1"/>
  <c r="G14" i="44" a="1"/>
  <c r="E16" i="44" a="1"/>
  <c r="BK37" i="44" a="1"/>
  <c r="E14" i="44" a="1"/>
  <c r="BO36" i="44" a="1"/>
  <c r="BO34" i="44" a="1"/>
  <c r="G16" i="44" a="1"/>
  <c r="BK36" i="44" a="1"/>
  <c r="BN37" i="44" a="1"/>
  <c r="BN35" i="44" a="1"/>
  <c r="G17" i="44" a="1"/>
  <c r="BM36" i="44" a="1"/>
  <c r="BN34" i="44" a="1"/>
  <c r="BO35" i="44" a="1"/>
  <c r="BM35" i="44" a="1"/>
  <c r="F17" i="44" a="1"/>
  <c r="C16" i="44" a="1"/>
  <c r="BM37" i="44" a="1"/>
  <c r="F14" i="44" a="1"/>
  <c r="BK34" i="44" l="1"/>
  <c r="C14" i="44"/>
  <c r="BK36" i="44"/>
  <c r="C16" i="44"/>
  <c r="BK37" i="44"/>
  <c r="C17" i="44"/>
  <c r="BO37" i="44"/>
  <c r="BN37" i="44"/>
  <c r="BM37" i="44"/>
  <c r="BO35" i="44"/>
  <c r="BM36" i="44"/>
  <c r="BN36" i="44"/>
  <c r="BM35" i="44"/>
  <c r="BN34" i="44"/>
  <c r="BN35" i="44"/>
  <c r="BO36" i="44"/>
  <c r="BO34" i="44"/>
  <c r="BM34" i="44"/>
  <c r="G17" i="44"/>
  <c r="G16" i="44"/>
  <c r="G14" i="44"/>
  <c r="E14" i="44"/>
  <c r="E17" i="44"/>
  <c r="E16" i="44"/>
  <c r="F17" i="44"/>
  <c r="F16" i="44"/>
  <c r="F14" i="44"/>
  <c r="BP35" i="44" l="1"/>
  <c r="BP37" i="44"/>
  <c r="BP36" i="44"/>
  <c r="BP34" i="44"/>
  <c r="BQ35" i="44" l="1"/>
  <c r="BQ37" i="44"/>
  <c r="BQ36" i="44"/>
  <c r="BQ34" i="44"/>
  <c r="BR34" i="44" l="1"/>
  <c r="BR35" i="44"/>
  <c r="BR36" i="44"/>
  <c r="BR37" i="44"/>
  <c r="B35" i="44" l="1"/>
  <c r="B37" i="44"/>
  <c r="B36" i="44"/>
  <c r="B34" i="44"/>
  <c r="F37" i="44" l="1"/>
  <c r="C37" i="44"/>
  <c r="G37" i="44"/>
  <c r="A37" i="44"/>
  <c r="E37" i="44"/>
  <c r="D37" i="44"/>
  <c r="A36" i="44"/>
  <c r="E36" i="44"/>
  <c r="F36" i="44"/>
  <c r="D36" i="44"/>
  <c r="C36" i="44"/>
  <c r="G36" i="44"/>
  <c r="F35" i="44"/>
  <c r="C35" i="44"/>
  <c r="G35" i="44"/>
  <c r="D35" i="44"/>
  <c r="A35" i="44"/>
  <c r="E35" i="44"/>
  <c r="F34" i="44"/>
  <c r="G34" i="44"/>
  <c r="D34" i="44"/>
  <c r="E34" i="44"/>
  <c r="A34" i="44"/>
  <c r="C34" i="4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<sst xmlns="http://schemas.openxmlformats.org/spreadsheetml/2006/main" count="2147" uniqueCount="408">
  <si>
    <t>Merging</t>
  </si>
  <si>
    <t>Crossing</t>
  </si>
  <si>
    <t>Total</t>
  </si>
  <si>
    <t>S.N</t>
  </si>
  <si>
    <t>Partial CFI</t>
  </si>
  <si>
    <t>Intersection</t>
  </si>
  <si>
    <t>Approach</t>
  </si>
  <si>
    <t>EB</t>
  </si>
  <si>
    <t>EBR</t>
  </si>
  <si>
    <t>EBT</t>
  </si>
  <si>
    <t>EBL</t>
  </si>
  <si>
    <t>WBR</t>
  </si>
  <si>
    <t>WBT</t>
  </si>
  <si>
    <t>WBL</t>
  </si>
  <si>
    <t>NBR</t>
  </si>
  <si>
    <t>NBT</t>
  </si>
  <si>
    <t>NBL</t>
  </si>
  <si>
    <t>SBR</t>
  </si>
  <si>
    <t>SBT</t>
  </si>
  <si>
    <t>SBL</t>
  </si>
  <si>
    <t>❹</t>
  </si>
  <si>
    <t>❻</t>
  </si>
  <si>
    <t>❸</t>
  </si>
  <si>
    <t>NB</t>
  </si>
  <si>
    <t>WB</t>
  </si>
  <si>
    <t>SB</t>
  </si>
  <si>
    <t>❶</t>
  </si>
  <si>
    <t>❷</t>
  </si>
  <si>
    <t>❺</t>
  </si>
  <si>
    <t>❼</t>
  </si>
  <si>
    <t>❽</t>
  </si>
  <si>
    <t>❾</t>
  </si>
  <si>
    <t>❿</t>
  </si>
  <si>
    <t>⓫</t>
  </si>
  <si>
    <t>⓬</t>
  </si>
  <si>
    <t>⓭</t>
  </si>
  <si>
    <t>⓮</t>
  </si>
  <si>
    <t>EBT+SBT</t>
  </si>
  <si>
    <t xml:space="preserve">Diverging </t>
  </si>
  <si>
    <t>SBT+WBT</t>
  </si>
  <si>
    <t>NBT+WBT</t>
  </si>
  <si>
    <t>SBT+EBT</t>
  </si>
  <si>
    <t>⓯</t>
  </si>
  <si>
    <t>⓰</t>
  </si>
  <si>
    <t>WBT+NBT</t>
  </si>
  <si>
    <t>WBT+SBT</t>
  </si>
  <si>
    <t>Diverging</t>
  </si>
  <si>
    <t>RCI</t>
  </si>
  <si>
    <t xml:space="preserve">Crossing </t>
  </si>
  <si>
    <t>Two-phase MUT</t>
  </si>
  <si>
    <t>Turning Movements</t>
  </si>
  <si>
    <t>Traffic Volume</t>
  </si>
  <si>
    <t>Results</t>
  </si>
  <si>
    <t xml:space="preserve">Merging </t>
  </si>
  <si>
    <t>Movements</t>
  </si>
  <si>
    <t>Conflict point</t>
  </si>
  <si>
    <t>❶-❽</t>
  </si>
  <si>
    <t>❶-⓰</t>
  </si>
  <si>
    <t>Legends: Conflict point type</t>
  </si>
  <si>
    <t>SUM</t>
  </si>
  <si>
    <t>Overview</t>
  </si>
  <si>
    <t>Worksheet Name</t>
  </si>
  <si>
    <t>Instructions</t>
  </si>
  <si>
    <t>Contents</t>
  </si>
  <si>
    <t>Color Coding in the Worksheets</t>
  </si>
  <si>
    <t>Color Used</t>
  </si>
  <si>
    <t>1.Conventional</t>
  </si>
  <si>
    <t>Conventional</t>
  </si>
  <si>
    <t>Two-Phase MUT</t>
  </si>
  <si>
    <t>Table 1: Number of conflict points in intersections included</t>
  </si>
  <si>
    <t>Entered Traffic Volume</t>
  </si>
  <si>
    <t>Table 1</t>
  </si>
  <si>
    <t>Table 2</t>
  </si>
  <si>
    <t>Input sheet</t>
  </si>
  <si>
    <t>Construction tables. Donot delete or change.</t>
  </si>
  <si>
    <t>INPUT SHEET</t>
  </si>
  <si>
    <t xml:space="preserve">Type of Information </t>
  </si>
  <si>
    <t>Right Turn (EBR)</t>
  </si>
  <si>
    <t>Through (EBT)</t>
  </si>
  <si>
    <t>Left Turn (EBL)</t>
  </si>
  <si>
    <t>Right Turn (NBR)</t>
  </si>
  <si>
    <t>Through (NBT)</t>
  </si>
  <si>
    <t>Left Turn (NBL)</t>
  </si>
  <si>
    <t>Right Turn (WBR)</t>
  </si>
  <si>
    <t>Through (WBT)</t>
  </si>
  <si>
    <t>Left Turn (WBL)</t>
  </si>
  <si>
    <t>Right Turn (SBR)</t>
  </si>
  <si>
    <t>Through (SBT)</t>
  </si>
  <si>
    <t>Left Turn (SBL)</t>
  </si>
  <si>
    <t>NOTE: All the results of each intersection design are reflected in individual sheet as well as the Results tab.</t>
  </si>
  <si>
    <t>Intersection No 1: Conventional Intersection</t>
  </si>
  <si>
    <t>Sum</t>
  </si>
  <si>
    <t xml:space="preserve">Table 1: Number of conflict points at intersections </t>
  </si>
  <si>
    <t>A conventional intersection is a traditional four-legged junction that permits all turning movements at the main intersection, allowing vehicles to make left turns,  right turns, and proceed straight through the intersection from all directions.</t>
  </si>
  <si>
    <t>Partial CFI intersection reconfigures the left-turn lanes in major road by directing them to cross over opposing traffic a short distance before the main intersection. All other vehicles follow their usual routes.</t>
  </si>
  <si>
    <t>Two-phase MUT intersection redirects all the left turn movement from major as well as minor road to the median U-turn. All other movements follow conventional routes.</t>
  </si>
  <si>
    <t xml:space="preserve">1. Conventional </t>
  </si>
  <si>
    <t>Intersections Included</t>
  </si>
  <si>
    <t>A conventional intersection is a four-legged junction that permits all turning movements at the main intersection, allowing vehicles to make left turns, right turns, and proceed straight through the intersection from all directions.</t>
  </si>
  <si>
    <t>Partial CFI intersection (continous flow intersection, also known as displaced left turn intersection, DLT) reconfigures the left-turn lanes in major road by directing them to cross over opposing traffic a short distance before the main intersection. All other vehicles follow their usual routes.</t>
  </si>
  <si>
    <t>Spreadsheet Developed by:</t>
  </si>
  <si>
    <t>EB (Eastbound)</t>
  </si>
  <si>
    <t>NB (Northbound)</t>
  </si>
  <si>
    <t>WB (Westbound)</t>
  </si>
  <si>
    <t>SB (Southbound)</t>
  </si>
  <si>
    <t>NBR*(NBT+NBL)</t>
  </si>
  <si>
    <t>NBT*NBL</t>
  </si>
  <si>
    <t>WBR*(WBT+WBL)</t>
  </si>
  <si>
    <t>WBT*WBL</t>
  </si>
  <si>
    <t>SBR*(SBT+SBL)</t>
  </si>
  <si>
    <t>SBT*SBL</t>
  </si>
  <si>
    <t>EBR*(EBT+EBL)</t>
  </si>
  <si>
    <t>EBT*EBL</t>
  </si>
  <si>
    <t>EBT*SBL</t>
  </si>
  <si>
    <t>(EBT+SBL)*NBR</t>
  </si>
  <si>
    <t>NBT*EBL</t>
  </si>
  <si>
    <t>(NBT+EBL)*WBR</t>
  </si>
  <si>
    <t>WBT*NBL</t>
  </si>
  <si>
    <t>(WBT+NBL)*SBR</t>
  </si>
  <si>
    <t>SBT*WBL</t>
  </si>
  <si>
    <t>EBR*(SBT+WBL)</t>
  </si>
  <si>
    <t>NBT*EBT</t>
  </si>
  <si>
    <t>WBT*NBT</t>
  </si>
  <si>
    <t>WBT*SBT</t>
  </si>
  <si>
    <t>EBT*NBL</t>
  </si>
  <si>
    <t>EBT*WBL</t>
  </si>
  <si>
    <t>NBT*WBL</t>
  </si>
  <si>
    <t>NBT*SBL</t>
  </si>
  <si>
    <t>WBT*SBL</t>
  </si>
  <si>
    <t>WBT*EBL</t>
  </si>
  <si>
    <t>SBT*EBL</t>
  </si>
  <si>
    <t>SBT*NBL</t>
  </si>
  <si>
    <t>SBL*WBL</t>
  </si>
  <si>
    <t>SBL*EBL</t>
  </si>
  <si>
    <t>EBL*NBL</t>
  </si>
  <si>
    <t>NBL*WBL</t>
  </si>
  <si>
    <t>NBL*SBT</t>
  </si>
  <si>
    <t>EBL*NBT</t>
  </si>
  <si>
    <t>WBL*SBT</t>
  </si>
  <si>
    <t>(SBR+SBL)*SBT</t>
  </si>
  <si>
    <t>(WBL+SBT)*EBR</t>
  </si>
  <si>
    <t>EBL*(WBT+NBL)</t>
  </si>
  <si>
    <t>WBL*(EBT+SBL)</t>
  </si>
  <si>
    <t>WBL*(EBR+SBT)</t>
  </si>
  <si>
    <t>(SBT+SBL)*(EBR+EBT+EBL)</t>
  </si>
  <si>
    <t>(SBR+SBT+SBL)*(NBL+WBT)</t>
  </si>
  <si>
    <t>(NBT+WBR)*EBL</t>
  </si>
  <si>
    <t>(NBT+NBL)*(WBR+WBT+WBL)</t>
  </si>
  <si>
    <t>(NBR+NBT+NBL)*(EBT+SBL)</t>
  </si>
  <si>
    <t>(SBT+EBR)*(SBL*EBT)</t>
  </si>
  <si>
    <t>(SBT+SBL+EBR+EBT)*EBL</t>
  </si>
  <si>
    <t>(NBL+WBT+SBR)*(SBT+SBL)</t>
  </si>
  <si>
    <t>(NBT+NBL+WBR+WBT)*WBL</t>
  </si>
  <si>
    <t>(NBT+NBL)*(EBT+SBL+NBR)</t>
  </si>
  <si>
    <t>WBR*WBT</t>
  </si>
  <si>
    <t>(WBR+WBT)*WBL</t>
  </si>
  <si>
    <t>(SBR+SBT)*SBL</t>
  </si>
  <si>
    <t>EBR*EBT</t>
  </si>
  <si>
    <t>NBR*(EBT+SBL)</t>
  </si>
  <si>
    <t>(EBR+EBT)*EBL</t>
  </si>
  <si>
    <t>(EBL+NBT)*WBR</t>
  </si>
  <si>
    <t>SBR*(WBT+NBL)</t>
  </si>
  <si>
    <t>NBT*WBT</t>
  </si>
  <si>
    <t>SBT*WBT</t>
  </si>
  <si>
    <t>EBT*SBT</t>
  </si>
  <si>
    <t>NBL*EBT</t>
  </si>
  <si>
    <t>SBL*NBT</t>
  </si>
  <si>
    <t>SBL*WBT</t>
  </si>
  <si>
    <t>Exposure</t>
  </si>
  <si>
    <t>(NBR*NBL)*NBT</t>
  </si>
  <si>
    <t>(EBL+NBL)*(NBR+EBT+SBL)</t>
  </si>
  <si>
    <t>(EBL+WBR)*(NBL+WBT+WBL)</t>
  </si>
  <si>
    <t>(WBL+SBL)*(SBR+WBT+NBL)</t>
  </si>
  <si>
    <t>(EBR+WBL)*(SBL+EBT+EBL)</t>
  </si>
  <si>
    <t>(NBR+NBL)*(EBT+EBL+SBL)</t>
  </si>
  <si>
    <t>(NBL+EBL)*(WBR+WBT+WBL)</t>
  </si>
  <si>
    <t>NBT*(EBL+WBR)</t>
  </si>
  <si>
    <t>(SBR+SBL)*(WBT+WBL+NBL)</t>
  </si>
  <si>
    <t>(SBL+WBL)*(EBR+EBT+EBL)</t>
  </si>
  <si>
    <t>(EBR+WBL)*SBT</t>
  </si>
  <si>
    <t>NBT*(EBT+EBL+SBL)</t>
  </si>
  <si>
    <t>NBT*(NBL+WBT+WBL)</t>
  </si>
  <si>
    <t>SBT*(WBT+WBL+NBL)</t>
  </si>
  <si>
    <t>SBT*(SBL+EBT+EBL)</t>
  </si>
  <si>
    <t>Merge</t>
  </si>
  <si>
    <t>Diverge</t>
  </si>
  <si>
    <t>Intersection Type</t>
  </si>
  <si>
    <t>Relative Exposure</t>
  </si>
  <si>
    <t>Conflict Point</t>
  </si>
  <si>
    <t>RCI (also known as superstreet, RCUT, and J-turn) diverts through and left-turn traffic from the minor road to the median U-turn while maintaining unrestricted movements from the major road.</t>
  </si>
  <si>
    <t>Number of through lanes</t>
  </si>
  <si>
    <t>Major road</t>
  </si>
  <si>
    <t>Minor road</t>
  </si>
  <si>
    <t>Table 3</t>
  </si>
  <si>
    <t>Note: The SSI Tool assumes the major road to be Eastbound/Westbound direction and minor road along Northbound/Southbound direction.</t>
  </si>
  <si>
    <t>Protected</t>
  </si>
  <si>
    <t>Turning movements</t>
  </si>
  <si>
    <t>Table 4</t>
  </si>
  <si>
    <t>Signal control type</t>
  </si>
  <si>
    <t>Speed Category (mph)</t>
  </si>
  <si>
    <t>Major through</t>
  </si>
  <si>
    <t>Major left</t>
  </si>
  <si>
    <t>Major right</t>
  </si>
  <si>
    <t>Signal control near-side</t>
  </si>
  <si>
    <t>Signal control far side</t>
  </si>
  <si>
    <t>Total Exposure</t>
  </si>
  <si>
    <t>V1</t>
  </si>
  <si>
    <t>V2</t>
  </si>
  <si>
    <t>ANGLE</t>
  </si>
  <si>
    <t>Delta V</t>
  </si>
  <si>
    <t>P(FSI)one veh</t>
  </si>
  <si>
    <t>P(FSI)</t>
  </si>
  <si>
    <t>Average P(FSI)</t>
  </si>
  <si>
    <t>Severity</t>
  </si>
  <si>
    <t>Conflict Point Type</t>
  </si>
  <si>
    <t>Traffic Control (alpha 1)</t>
  </si>
  <si>
    <t>Conflicting Lane (alpha 2)</t>
  </si>
  <si>
    <t>Conflicting Speed (alpha 3)</t>
  </si>
  <si>
    <t>Complexity, L1</t>
  </si>
  <si>
    <t>Average
L1</t>
  </si>
  <si>
    <t>Signal Type</t>
  </si>
  <si>
    <t>BTCAV
Value</t>
  </si>
  <si>
    <t>f (constant)
0.5</t>
  </si>
  <si>
    <t>alpha 1</t>
  </si>
  <si>
    <t>Cross Score</t>
  </si>
  <si>
    <t>Merge Score</t>
  </si>
  <si>
    <t>alpha 2</t>
  </si>
  <si>
    <t>Vc</t>
  </si>
  <si>
    <t>alpha 3</t>
  </si>
  <si>
    <t>M (1 OR 0)</t>
  </si>
  <si>
    <t>Merging Lanes</t>
  </si>
  <si>
    <t>D</t>
  </si>
  <si>
    <t>M</t>
  </si>
  <si>
    <t>EBT+WBT</t>
  </si>
  <si>
    <t>WBT+EBT</t>
  </si>
  <si>
    <t>C</t>
  </si>
  <si>
    <t>EBT+NBT</t>
  </si>
  <si>
    <t>Exposure
I</t>
  </si>
  <si>
    <t>Severity
P(FSI)</t>
  </si>
  <si>
    <t>Complexity
L1</t>
  </si>
  <si>
    <t>Complexity
L2</t>
  </si>
  <si>
    <t>SSI</t>
  </si>
  <si>
    <t>NA</t>
  </si>
  <si>
    <t>Overall SSI score</t>
  </si>
  <si>
    <t>SSI Calculation</t>
  </si>
  <si>
    <t>Entered Number of through lanes</t>
  </si>
  <si>
    <t>Permitted or yield control</t>
  </si>
  <si>
    <t xml:space="preserve">Protected </t>
  </si>
  <si>
    <t>Complexity</t>
  </si>
  <si>
    <t>Crossing
Lanes</t>
  </si>
  <si>
    <t>Merging 
Lanes</t>
  </si>
  <si>
    <t>Number of 
Merging Lanes</t>
  </si>
  <si>
    <t>Cross 
Score</t>
  </si>
  <si>
    <t>Merge 
Score</t>
  </si>
  <si>
    <t>Signal 
Type</t>
  </si>
  <si>
    <t>Exposure by 
Conflict Type</t>
  </si>
  <si>
    <t>P(FSI)
total</t>
  </si>
  <si>
    <t>P(FSI) per 
one veh</t>
  </si>
  <si>
    <t>Exposure-Severity-Complexity 
Product</t>
  </si>
  <si>
    <t>SSI score</t>
  </si>
  <si>
    <t>S.N.</t>
  </si>
  <si>
    <t xml:space="preserve">Two-Phase MUT </t>
  </si>
  <si>
    <t>Speed Category</t>
  </si>
  <si>
    <t>Speed (mph)</t>
  </si>
  <si>
    <t>Low End</t>
  </si>
  <si>
    <t>High End</t>
  </si>
  <si>
    <t>Average</t>
  </si>
  <si>
    <t>Major Through</t>
  </si>
  <si>
    <t>Major Left</t>
  </si>
  <si>
    <t>Major Right</t>
  </si>
  <si>
    <t>Minor Through</t>
  </si>
  <si>
    <t>Minor Left</t>
  </si>
  <si>
    <t>Minor Right</t>
  </si>
  <si>
    <t>Stop Control near-side</t>
  </si>
  <si>
    <t>Stop Control far-side</t>
  </si>
  <si>
    <t>Signal Control near-side</t>
  </si>
  <si>
    <t>Signal Control far-side</t>
  </si>
  <si>
    <t>Table 2: Collision angle assumptions for SSI methodology (Adapted from Table 11 of SSI Manual)</t>
  </si>
  <si>
    <t>Collision Type</t>
  </si>
  <si>
    <t>Typical collision angle range</t>
  </si>
  <si>
    <t>Crossing-Broaside</t>
  </si>
  <si>
    <t>80-100 (or 260-280)</t>
  </si>
  <si>
    <t>90 (270)</t>
  </si>
  <si>
    <t>Crossing-LeftTurn</t>
  </si>
  <si>
    <t>220-240</t>
  </si>
  <si>
    <t>Crossing-Roundabout</t>
  </si>
  <si>
    <t>45-75</t>
  </si>
  <si>
    <t>30-60 (or 300-330)</t>
  </si>
  <si>
    <t>0-20 (or 340 - 360)</t>
  </si>
  <si>
    <t xml:space="preserve">Stop-Control </t>
  </si>
  <si>
    <t>Major through and right turn</t>
  </si>
  <si>
    <t>Minor through and right turn</t>
  </si>
  <si>
    <t>Minor left turn</t>
  </si>
  <si>
    <t>3. Complexity</t>
  </si>
  <si>
    <t>2. Severity</t>
  </si>
  <si>
    <t>1. Exposure</t>
  </si>
  <si>
    <t>Rank</t>
  </si>
  <si>
    <t>Intersection
Score</t>
  </si>
  <si>
    <t>Conflict Type SSI Scores</t>
  </si>
  <si>
    <t>Exposure  (Relative to Existing)</t>
  </si>
  <si>
    <t>Average P(FSI</t>
  </si>
  <si>
    <t>Average Complexity Adjustment</t>
  </si>
  <si>
    <t>Nonmotorized</t>
  </si>
  <si>
    <t>NM</t>
  </si>
  <si>
    <t>Cross</t>
  </si>
  <si>
    <t xml:space="preserve">na </t>
  </si>
  <si>
    <t>na</t>
  </si>
  <si>
    <t>Sheet Name</t>
  </si>
  <si>
    <t>Diverging conflict</t>
  </si>
  <si>
    <t>Merging conflict</t>
  </si>
  <si>
    <t>Crossing conflict</t>
  </si>
  <si>
    <t>Overall SSI
score</t>
  </si>
  <si>
    <t>Safe System for Intersections (SSI)</t>
  </si>
  <si>
    <t>Non-motorized</t>
  </si>
  <si>
    <t>Exposure (Relative to Conventional)</t>
  </si>
  <si>
    <t>Average Severity, P(FSI)</t>
  </si>
  <si>
    <t>Table 2: SSI Score</t>
  </si>
  <si>
    <t>Table 3: Relative exposure, average severity P(FSI), and average complexity adjustment results</t>
  </si>
  <si>
    <t>Value</t>
  </si>
  <si>
    <t>Construction Table</t>
  </si>
  <si>
    <t>Note: Please do not alter any rows or columns, as making changes will cause the tool to malfunction.</t>
  </si>
  <si>
    <t>Note: A higher SSI score indicates a safer intersection.</t>
  </si>
  <si>
    <t>Equations and Assumptions</t>
  </si>
  <si>
    <t>This sheet includes all the equations and tables referenced from the SSI manual.  It also includes all the assumptions made for the analysis.</t>
  </si>
  <si>
    <t>SSI_Calculation</t>
  </si>
  <si>
    <t>This sheet includes all the calculations for all the exposure, conflict severity, movement complexity, and the SSI score for each conflict type of each intersection analyzed.</t>
  </si>
  <si>
    <t>0.9*PSL</t>
  </si>
  <si>
    <t>1.1*PSL</t>
  </si>
  <si>
    <t>0.7*PSL</t>
  </si>
  <si>
    <t>Minor PSl</t>
  </si>
  <si>
    <t>Table 3. Traffic control type and BTCAV assumed values</t>
  </si>
  <si>
    <t>BTCAV  values</t>
  </si>
  <si>
    <r>
      <rPr>
        <b/>
        <sz val="11"/>
        <color theme="1"/>
        <rFont val="Calibri"/>
        <family val="2"/>
        <scheme val="minor"/>
      </rPr>
      <t>2.0</t>
    </r>
    <r>
      <rPr>
        <sz val="11"/>
        <color theme="1"/>
        <rFont val="Calibri"/>
        <family val="2"/>
        <scheme val="minor"/>
      </rPr>
      <t xml:space="preserve"> </t>
    </r>
    <r>
      <rPr>
        <b/>
        <sz val="11"/>
        <color theme="1"/>
        <rFont val="Calibri"/>
        <family val="2"/>
        <scheme val="minor"/>
      </rPr>
      <t>The overall SSI score</t>
    </r>
    <r>
      <rPr>
        <sz val="11"/>
        <color theme="1"/>
        <rFont val="Calibri"/>
        <family val="2"/>
        <scheme val="minor"/>
      </rPr>
      <t xml:space="preserve"> for the intersection is obtained from </t>
    </r>
    <r>
      <rPr>
        <b/>
        <sz val="11"/>
        <color theme="1"/>
        <rFont val="Calibri"/>
        <family val="2"/>
        <scheme val="minor"/>
      </rPr>
      <t>100*EXP((-1/13700000)*((Exposure+Severity+Complexity)/3))</t>
    </r>
    <r>
      <rPr>
        <sz val="11"/>
        <color theme="1"/>
        <rFont val="Calibri"/>
        <family val="2"/>
        <scheme val="minor"/>
      </rPr>
      <t xml:space="preserve"> adapted from </t>
    </r>
    <r>
      <rPr>
        <b/>
        <sz val="11"/>
        <color theme="1"/>
        <rFont val="Calibri"/>
        <family val="2"/>
        <scheme val="minor"/>
      </rPr>
      <t>Figure 16</t>
    </r>
    <r>
      <rPr>
        <sz val="11"/>
        <color theme="1"/>
        <rFont val="Calibri"/>
        <family val="2"/>
        <scheme val="minor"/>
      </rPr>
      <t xml:space="preserve"> of the SSI Manual.</t>
    </r>
  </si>
  <si>
    <t xml:space="preserve">Protected/Permitted </t>
  </si>
  <si>
    <t>0.6-0.9</t>
  </si>
  <si>
    <t>0.005-0.015</t>
  </si>
  <si>
    <t>0.4-0.5</t>
  </si>
  <si>
    <t>PSl=Posted Speed Limit</t>
  </si>
  <si>
    <r>
      <rPr>
        <b/>
        <sz val="11"/>
        <color theme="1"/>
        <rFont val="Calibri"/>
        <family val="2"/>
        <scheme val="minor"/>
      </rPr>
      <t>3.0</t>
    </r>
    <r>
      <rPr>
        <sz val="11"/>
        <color theme="1"/>
        <rFont val="Calibri"/>
        <family val="2"/>
        <scheme val="minor"/>
      </rPr>
      <t xml:space="preserve"> </t>
    </r>
    <r>
      <rPr>
        <b/>
        <sz val="11"/>
        <color theme="1"/>
        <rFont val="Calibri"/>
        <family val="2"/>
        <scheme val="minor"/>
      </rPr>
      <t>Delta V</t>
    </r>
    <r>
      <rPr>
        <sz val="11"/>
        <color theme="1"/>
        <rFont val="Calibri"/>
        <family val="2"/>
        <scheme val="minor"/>
      </rPr>
      <t xml:space="preserve"> is obtained from </t>
    </r>
    <r>
      <rPr>
        <b/>
        <sz val="11"/>
        <color theme="1"/>
        <rFont val="Calibri"/>
        <family val="2"/>
        <scheme val="minor"/>
      </rPr>
      <t>SQRT(V1^2 + V2^2 - 2 * V1 * V2 * COS(RADIANS(ANGLE))) / 2</t>
    </r>
    <r>
      <rPr>
        <sz val="11"/>
        <color theme="1"/>
        <rFont val="Calibri"/>
        <family val="2"/>
        <scheme val="minor"/>
      </rPr>
      <t xml:space="preserve"> adapted from </t>
    </r>
    <r>
      <rPr>
        <b/>
        <sz val="11"/>
        <color theme="1"/>
        <rFont val="Calibri"/>
        <family val="2"/>
        <scheme val="minor"/>
      </rPr>
      <t>Figure 8</t>
    </r>
    <r>
      <rPr>
        <sz val="11"/>
        <color theme="1"/>
        <rFont val="Calibri"/>
        <family val="2"/>
        <scheme val="minor"/>
      </rPr>
      <t xml:space="preserve"> of the SSI manual </t>
    </r>
  </si>
  <si>
    <t>Table 4: List of movements (Refer to page 41 of the SSI manual)</t>
  </si>
  <si>
    <t>Movement</t>
  </si>
  <si>
    <t>Major left turn</t>
  </si>
  <si>
    <r>
      <rPr>
        <b/>
        <sz val="11"/>
        <color theme="1"/>
        <rFont val="Calibri"/>
        <family val="2"/>
        <scheme val="minor"/>
      </rPr>
      <t>4.0</t>
    </r>
    <r>
      <rPr>
        <sz val="11"/>
        <color theme="1"/>
        <rFont val="Calibri"/>
        <family val="2"/>
        <scheme val="minor"/>
      </rPr>
      <t xml:space="preserve"> </t>
    </r>
    <r>
      <rPr>
        <b/>
        <sz val="11"/>
        <color theme="1"/>
        <rFont val="Calibri"/>
        <family val="2"/>
        <scheme val="minor"/>
      </rPr>
      <t xml:space="preserve">P(FSI) </t>
    </r>
    <r>
      <rPr>
        <sz val="11"/>
        <color theme="1"/>
        <rFont val="Calibri"/>
        <family val="2"/>
        <scheme val="minor"/>
      </rPr>
      <t xml:space="preserve">one vehicle( Severity for one vehicle) is obtained from </t>
    </r>
    <r>
      <rPr>
        <b/>
        <sz val="11"/>
        <color theme="1"/>
        <rFont val="Calibri"/>
        <family val="2"/>
        <scheme val="minor"/>
      </rPr>
      <t>(Delta V/67.29)^3.79</t>
    </r>
    <r>
      <rPr>
        <sz val="11"/>
        <color theme="1"/>
        <rFont val="Calibri"/>
        <family val="2"/>
        <scheme val="minor"/>
      </rPr>
      <t xml:space="preserve"> where </t>
    </r>
    <r>
      <rPr>
        <b/>
        <sz val="11"/>
        <color theme="1"/>
        <rFont val="Calibri"/>
        <family val="2"/>
        <scheme val="minor"/>
      </rPr>
      <t>67.29</t>
    </r>
    <r>
      <rPr>
        <sz val="11"/>
        <color theme="1"/>
        <rFont val="Calibri"/>
        <family val="2"/>
        <scheme val="minor"/>
      </rPr>
      <t xml:space="preserve"> and </t>
    </r>
    <r>
      <rPr>
        <b/>
        <sz val="11"/>
        <color theme="1"/>
        <rFont val="Calibri"/>
        <family val="2"/>
        <scheme val="minor"/>
      </rPr>
      <t xml:space="preserve">3.79 </t>
    </r>
    <r>
      <rPr>
        <sz val="11"/>
        <color theme="1"/>
        <rFont val="Calibri"/>
        <family val="2"/>
        <scheme val="minor"/>
      </rPr>
      <t>are constants alpha and k respectively as adapted in</t>
    </r>
    <r>
      <rPr>
        <b/>
        <sz val="11"/>
        <color theme="1"/>
        <rFont val="Calibri"/>
        <family val="2"/>
        <scheme val="minor"/>
      </rPr>
      <t xml:space="preserve"> Figure 7</t>
    </r>
    <r>
      <rPr>
        <sz val="11"/>
        <color theme="1"/>
        <rFont val="Calibri"/>
        <family val="2"/>
        <scheme val="minor"/>
      </rPr>
      <t xml:space="preserve"> of the SSI manual</t>
    </r>
  </si>
  <si>
    <r>
      <rPr>
        <b/>
        <sz val="11"/>
        <color theme="1"/>
        <rFont val="Calibri"/>
        <family val="2"/>
        <scheme val="minor"/>
      </rPr>
      <t>5.0</t>
    </r>
    <r>
      <rPr>
        <sz val="11"/>
        <color theme="1"/>
        <rFont val="Calibri"/>
        <family val="2"/>
        <scheme val="minor"/>
      </rPr>
      <t xml:space="preserve"> </t>
    </r>
    <r>
      <rPr>
        <b/>
        <sz val="11"/>
        <color theme="1"/>
        <rFont val="Calibri"/>
        <family val="2"/>
        <scheme val="minor"/>
      </rPr>
      <t>P(FSI)</t>
    </r>
    <r>
      <rPr>
        <sz val="11"/>
        <color theme="1"/>
        <rFont val="Calibri"/>
        <family val="2"/>
        <scheme val="minor"/>
      </rPr>
      <t xml:space="preserve"> is obtained from</t>
    </r>
    <r>
      <rPr>
        <b/>
        <sz val="11"/>
        <color theme="1"/>
        <rFont val="Calibri"/>
        <family val="2"/>
        <scheme val="minor"/>
      </rPr>
      <t xml:space="preserve"> (P(FSI)one vehicle+P(FSI)one vehicle)-(P(FSI)one vehicle*P(FSI)one vehicle)</t>
    </r>
    <r>
      <rPr>
        <sz val="11"/>
        <color theme="1"/>
        <rFont val="Calibri"/>
        <family val="2"/>
        <scheme val="minor"/>
      </rPr>
      <t xml:space="preserve"> adapted from Figure 10 of the SSI manual</t>
    </r>
  </si>
  <si>
    <t>Table 5. Merge score for conflicting lanes parameter      (Adapted from Table 12 of SSI Manual)</t>
  </si>
  <si>
    <t>Number of Through Lanes on Merge Approach</t>
  </si>
  <si>
    <t>M(1+W2)</t>
  </si>
  <si>
    <r>
      <t>M[1+W</t>
    </r>
    <r>
      <rPr>
        <sz val="8"/>
        <color theme="1"/>
        <rFont val="Calibri"/>
        <family val="2"/>
        <scheme val="minor"/>
      </rPr>
      <t>2</t>
    </r>
    <r>
      <rPr>
        <sz val="11"/>
        <color theme="1"/>
        <rFont val="Calibri"/>
        <family val="2"/>
        <scheme val="minor"/>
      </rPr>
      <t>+W</t>
    </r>
    <r>
      <rPr>
        <sz val="8"/>
        <color theme="1"/>
        <rFont val="Calibri"/>
        <family val="2"/>
        <scheme val="minor"/>
      </rPr>
      <t>3+</t>
    </r>
    <r>
      <rPr>
        <sz val="11"/>
        <color theme="1"/>
        <rFont val="Calibri"/>
        <family val="2"/>
        <scheme val="minor"/>
      </rPr>
      <t>N</t>
    </r>
    <r>
      <rPr>
        <sz val="8"/>
        <color theme="1"/>
        <rFont val="Calibri"/>
        <family val="2"/>
        <scheme val="minor"/>
      </rPr>
      <t>M</t>
    </r>
    <r>
      <rPr>
        <sz val="11"/>
        <color theme="1"/>
        <rFont val="Calibri"/>
        <family val="2"/>
        <scheme val="minor"/>
      </rPr>
      <t>-2)]</t>
    </r>
  </si>
  <si>
    <r>
      <t>W</t>
    </r>
    <r>
      <rPr>
        <b/>
        <sz val="8"/>
        <color theme="1"/>
        <rFont val="Calibri"/>
        <family val="2"/>
        <scheme val="minor"/>
      </rPr>
      <t>2</t>
    </r>
    <r>
      <rPr>
        <b/>
        <sz val="11"/>
        <color theme="1"/>
        <rFont val="Calibri"/>
        <family val="2"/>
        <scheme val="minor"/>
      </rPr>
      <t xml:space="preserve">=0.75 </t>
    </r>
  </si>
  <si>
    <r>
      <t>W</t>
    </r>
    <r>
      <rPr>
        <b/>
        <sz val="8"/>
        <color theme="1"/>
        <rFont val="Calibri"/>
        <family val="2"/>
        <scheme val="minor"/>
      </rPr>
      <t>3+</t>
    </r>
    <r>
      <rPr>
        <b/>
        <sz val="11"/>
        <color theme="1"/>
        <rFont val="Calibri"/>
        <family val="2"/>
        <scheme val="minor"/>
      </rPr>
      <t>=0.5</t>
    </r>
  </si>
  <si>
    <r>
      <rPr>
        <b/>
        <sz val="11"/>
        <color theme="1"/>
        <rFont val="Calibri"/>
        <family val="2"/>
        <scheme val="minor"/>
      </rPr>
      <t>4.0The intersection complexity factor, Li</t>
    </r>
    <r>
      <rPr>
        <sz val="11"/>
        <color theme="1"/>
        <rFont val="Calibri"/>
        <family val="2"/>
        <scheme val="minor"/>
      </rPr>
      <t xml:space="preserve">, is obtained from </t>
    </r>
    <r>
      <rPr>
        <b/>
        <sz val="11"/>
        <color theme="1"/>
        <rFont val="Calibri"/>
        <family val="2"/>
        <scheme val="minor"/>
      </rPr>
      <t xml:space="preserve">alpha 1 *alpha 2*alpha 3 </t>
    </r>
    <r>
      <rPr>
        <sz val="11"/>
        <color theme="1"/>
        <rFont val="Calibri"/>
        <family val="2"/>
        <scheme val="minor"/>
      </rPr>
      <t xml:space="preserve">adapted from </t>
    </r>
    <r>
      <rPr>
        <b/>
        <sz val="11"/>
        <color theme="1"/>
        <rFont val="Calibri"/>
        <family val="2"/>
        <scheme val="minor"/>
      </rPr>
      <t>Figure 17</t>
    </r>
    <r>
      <rPr>
        <sz val="11"/>
        <color theme="1"/>
        <rFont val="Calibri"/>
        <family val="2"/>
        <scheme val="minor"/>
      </rPr>
      <t xml:space="preserve"> of the SSI manual</t>
    </r>
  </si>
  <si>
    <t>*The nonmotoized complexity factor = 1 because the nonmotorized vehicle was not considered</t>
  </si>
  <si>
    <r>
      <t>Equations and Assumptions (</t>
    </r>
    <r>
      <rPr>
        <b/>
        <sz val="11"/>
        <color rgb="FFFF0000"/>
        <rFont val="Calibri"/>
        <family val="2"/>
        <scheme val="minor"/>
      </rPr>
      <t>Assumptions are highlighted in Red</t>
    </r>
    <r>
      <rPr>
        <b/>
        <sz val="11"/>
        <color theme="1"/>
        <rFont val="Calibri"/>
        <family val="2"/>
        <scheme val="minor"/>
      </rPr>
      <t>)</t>
    </r>
  </si>
  <si>
    <t>Table 1: Assumed speed values for SSI methodology                     (Adapted from Table 10 of SSI manual)</t>
  </si>
  <si>
    <t>Tables showing Exposure analysis.</t>
  </si>
  <si>
    <t>Tables showing Severity analysis.</t>
  </si>
  <si>
    <t>Tables showing Complexity analysis.</t>
  </si>
  <si>
    <t>The worksheets include six specific color options to guide users to input the data and get the results.  The respective color coding is as follows:</t>
  </si>
  <si>
    <t>Required input information on traffic volume at each turning movement, number of through lanes and speed category.</t>
  </si>
  <si>
    <t>Relative Exposure (Compared to Conventional)</t>
  </si>
  <si>
    <t>Traffic Volume (AADT)</t>
  </si>
  <si>
    <t>Traffic Volume (veh/day)</t>
  </si>
  <si>
    <t>Rank with names</t>
  </si>
  <si>
    <r>
      <rPr>
        <b/>
        <sz val="11"/>
        <color theme="1"/>
        <rFont val="Calibri"/>
        <family val="2"/>
        <scheme val="minor"/>
      </rPr>
      <t>1.0</t>
    </r>
    <r>
      <rPr>
        <sz val="11"/>
        <color theme="1"/>
        <rFont val="Calibri"/>
        <family val="2"/>
        <scheme val="minor"/>
      </rPr>
      <t xml:space="preserve"> The </t>
    </r>
    <r>
      <rPr>
        <b/>
        <sz val="11"/>
        <color theme="1"/>
        <rFont val="Calibri"/>
        <family val="2"/>
        <scheme val="minor"/>
      </rPr>
      <t>exposure index</t>
    </r>
    <r>
      <rPr>
        <sz val="11"/>
        <color theme="1"/>
        <rFont val="Calibri"/>
        <family val="2"/>
        <scheme val="minor"/>
      </rPr>
      <t xml:space="preserve"> at a conflict point Ic is the product of vehicle or non-motorized user daily volumes through that conflict point (Q1 and Q2):                                                                    </t>
    </r>
    <r>
      <rPr>
        <b/>
        <sz val="11"/>
        <color theme="1"/>
        <rFont val="Calibri"/>
        <family val="2"/>
        <scheme val="minor"/>
      </rPr>
      <t>Ic=Q1*Q2</t>
    </r>
    <r>
      <rPr>
        <sz val="11"/>
        <color theme="1"/>
        <rFont val="Calibri"/>
        <family val="2"/>
        <scheme val="minor"/>
      </rPr>
      <t xml:space="preserve">                                                                                                     The values of Q1 and Q2 are determined using the daily volumes, turning movements, and intersection geometry. The individual conflict point exposure indices can be summed across all the conflict points of a certain type at an intersection to compute the total exposure of each conflict point type.</t>
    </r>
  </si>
  <si>
    <r>
      <rPr>
        <b/>
        <sz val="11"/>
        <color theme="1"/>
        <rFont val="Calibri"/>
        <family val="2"/>
        <scheme val="minor"/>
      </rPr>
      <t>2.0</t>
    </r>
    <r>
      <rPr>
        <sz val="11"/>
        <color theme="1"/>
        <rFont val="Calibri"/>
        <family val="2"/>
        <scheme val="minor"/>
      </rPr>
      <t xml:space="preserve"> The</t>
    </r>
    <r>
      <rPr>
        <b/>
        <sz val="11"/>
        <color theme="1"/>
        <rFont val="Calibri"/>
        <family val="2"/>
        <scheme val="minor"/>
      </rPr>
      <t xml:space="preserve"> relative exposure</t>
    </r>
    <r>
      <rPr>
        <sz val="11"/>
        <color theme="1"/>
        <rFont val="Calibri"/>
        <family val="2"/>
        <scheme val="minor"/>
      </rPr>
      <t xml:space="preserve"> is the ratio of the </t>
    </r>
    <r>
      <rPr>
        <b/>
        <sz val="11"/>
        <color theme="1"/>
        <rFont val="Calibri"/>
        <family val="2"/>
        <scheme val="minor"/>
      </rPr>
      <t>total conflict volume</t>
    </r>
    <r>
      <rPr>
        <sz val="11"/>
        <color theme="1"/>
        <rFont val="Calibri"/>
        <family val="2"/>
        <scheme val="minor"/>
      </rPr>
      <t xml:space="preserve"> (exposure) of a conflict point type for an alternative intersection to the total conflict volume (exposure) of the same conflict point type at a conventional intersection.</t>
    </r>
  </si>
  <si>
    <r>
      <rPr>
        <b/>
        <sz val="11"/>
        <color theme="1"/>
        <rFont val="Calibri"/>
        <family val="2"/>
        <scheme val="minor"/>
      </rPr>
      <t>1.0</t>
    </r>
    <r>
      <rPr>
        <sz val="11"/>
        <color theme="1"/>
        <rFont val="Calibri"/>
        <family val="2"/>
        <scheme val="minor"/>
      </rPr>
      <t xml:space="preserve"> </t>
    </r>
    <r>
      <rPr>
        <b/>
        <sz val="11"/>
        <color theme="1"/>
        <rFont val="Calibri"/>
        <family val="2"/>
        <scheme val="minor"/>
      </rPr>
      <t>V1</t>
    </r>
    <r>
      <rPr>
        <sz val="11"/>
        <color theme="1"/>
        <rFont val="Calibri"/>
        <family val="2"/>
        <scheme val="minor"/>
      </rPr>
      <t xml:space="preserve"> and</t>
    </r>
    <r>
      <rPr>
        <b/>
        <sz val="11"/>
        <color theme="1"/>
        <rFont val="Calibri"/>
        <family val="2"/>
        <scheme val="minor"/>
      </rPr>
      <t xml:space="preserve"> V2</t>
    </r>
    <r>
      <rPr>
        <sz val="11"/>
        <color theme="1"/>
        <rFont val="Calibri"/>
        <family val="2"/>
        <scheme val="minor"/>
      </rPr>
      <t xml:space="preserve"> are obtained from </t>
    </r>
    <r>
      <rPr>
        <b/>
        <sz val="11"/>
        <color theme="1"/>
        <rFont val="Calibri"/>
        <family val="2"/>
        <scheme val="minor"/>
      </rPr>
      <t>Table 1</t>
    </r>
    <r>
      <rPr>
        <sz val="11"/>
        <color theme="1"/>
        <rFont val="Calibri"/>
        <family val="2"/>
        <scheme val="minor"/>
      </rPr>
      <t xml:space="preserve"> depending on the speed category of the conflicting movements. For instance, for diverging 1, since the intersection is signalized, the selected speed is 15 mph, representing signal control near-side. </t>
    </r>
    <r>
      <rPr>
        <sz val="11"/>
        <color rgb="FFFF0000"/>
        <rFont val="Calibri"/>
        <family val="2"/>
        <scheme val="minor"/>
      </rPr>
      <t>However, it is important to note that this only applies to the minor roads for a signalized intersection. The major road still maintains the speed category for the Major Through, Left, and Right movements. The averages of the speeds are used.</t>
    </r>
  </si>
  <si>
    <r>
      <rPr>
        <b/>
        <sz val="11"/>
        <color theme="1"/>
        <rFont val="Calibri"/>
        <family val="2"/>
        <scheme val="minor"/>
      </rPr>
      <t>2.0</t>
    </r>
    <r>
      <rPr>
        <sz val="11"/>
        <color theme="1"/>
        <rFont val="Calibri"/>
        <family val="2"/>
        <scheme val="minor"/>
      </rPr>
      <t xml:space="preserve"> The collision </t>
    </r>
    <r>
      <rPr>
        <b/>
        <sz val="11"/>
        <color theme="1"/>
        <rFont val="Calibri"/>
        <family val="2"/>
        <scheme val="minor"/>
      </rPr>
      <t>angle</t>
    </r>
    <r>
      <rPr>
        <sz val="11"/>
        <color theme="1"/>
        <rFont val="Calibri"/>
        <family val="2"/>
        <scheme val="minor"/>
      </rPr>
      <t xml:space="preserve"> is obtained from </t>
    </r>
    <r>
      <rPr>
        <b/>
        <sz val="11"/>
        <color theme="1"/>
        <rFont val="Calibri"/>
        <family val="2"/>
        <scheme val="minor"/>
      </rPr>
      <t>Table 2</t>
    </r>
    <r>
      <rPr>
        <sz val="11"/>
        <color theme="1"/>
        <rFont val="Calibri"/>
        <family val="2"/>
        <scheme val="minor"/>
      </rPr>
      <t xml:space="preserve"> based on the collision type. </t>
    </r>
    <r>
      <rPr>
        <sz val="11"/>
        <color rgb="FFFF0000"/>
        <rFont val="Calibri"/>
        <family val="2"/>
        <scheme val="minor"/>
      </rPr>
      <t>The midpoints of the selected angles are used as part of the assumptions.</t>
    </r>
  </si>
  <si>
    <r>
      <rPr>
        <b/>
        <sz val="11"/>
        <color theme="1"/>
        <rFont val="Calibri"/>
        <family val="2"/>
        <scheme val="minor"/>
      </rPr>
      <t>1.0 Traffic Control (alpha 1)</t>
    </r>
    <r>
      <rPr>
        <sz val="11"/>
        <color theme="1"/>
        <rFont val="Calibri"/>
        <family val="2"/>
        <scheme val="minor"/>
      </rPr>
      <t xml:space="preserve"> parameter is obtained from </t>
    </r>
    <r>
      <rPr>
        <b/>
        <sz val="11"/>
        <color theme="1"/>
        <rFont val="Calibri"/>
        <family val="2"/>
        <scheme val="minor"/>
      </rPr>
      <t>BTCAV+((1-f(constant))*(1-BTCAV))</t>
    </r>
    <r>
      <rPr>
        <sz val="11"/>
        <color theme="1"/>
        <rFont val="Calibri"/>
        <family val="2"/>
        <scheme val="minor"/>
      </rPr>
      <t xml:space="preserve"> which is adapted from </t>
    </r>
    <r>
      <rPr>
        <b/>
        <sz val="11"/>
        <color theme="1"/>
        <rFont val="Calibri"/>
        <family val="2"/>
        <scheme val="minor"/>
      </rPr>
      <t>Figure 18</t>
    </r>
    <r>
      <rPr>
        <sz val="11"/>
        <color theme="1"/>
        <rFont val="Calibri"/>
        <family val="2"/>
        <scheme val="minor"/>
      </rPr>
      <t xml:space="preserve"> of the SSI manual.</t>
    </r>
  </si>
  <si>
    <r>
      <t xml:space="preserve">The type of control (signal type) for each movement and the corresponding BTCAV applied to each conflict point along a movement is determined based on the type of conflict separation achieved by the traffic control. The traffic control categories and corresponding BTCAV assumed ranges, as presented in the SSI manual, are shown in </t>
    </r>
    <r>
      <rPr>
        <b/>
        <sz val="11"/>
        <color theme="1"/>
        <rFont val="Calibri"/>
        <family val="2"/>
        <scheme val="minor"/>
      </rPr>
      <t>Table 3.</t>
    </r>
  </si>
  <si>
    <t>*The SSI method does not currently incorporate the effects of traffic control devices on rear-end conflicts. Therefore, the value of the traffic control parameter (BTCAV) is set to 1 for the diverging conflict point, regardless of whether the intersection is MRSC or signalized.</t>
  </si>
  <si>
    <r>
      <rPr>
        <b/>
        <sz val="11"/>
        <color theme="1"/>
        <rFont val="Calibri"/>
        <family val="2"/>
        <scheme val="minor"/>
      </rPr>
      <t>2.0 Conflicting Lane (alpha 2)</t>
    </r>
    <r>
      <rPr>
        <sz val="11"/>
        <color theme="1"/>
        <rFont val="Calibri"/>
        <family val="2"/>
        <scheme val="minor"/>
      </rPr>
      <t xml:space="preserve"> parameter is obtained from</t>
    </r>
    <r>
      <rPr>
        <b/>
        <sz val="11"/>
        <color theme="1"/>
        <rFont val="Calibri"/>
        <family val="2"/>
        <scheme val="minor"/>
      </rPr>
      <t xml:space="preserve"> Cross Score + Merge Score</t>
    </r>
    <r>
      <rPr>
        <sz val="11"/>
        <color theme="1"/>
        <rFont val="Calibri"/>
        <family val="2"/>
        <scheme val="minor"/>
      </rPr>
      <t xml:space="preserve"> adapted from Figure 23 of the SSI manual.</t>
    </r>
  </si>
  <si>
    <t>The parameter is based on the number of lanes that carry conflicting traffic movements for a selected movement of interest. For any selected movement in the following "list of movements," conflicting traffic movements are those that cross or merge with the selected movement of interest and are also listed above the selected movement list.</t>
  </si>
  <si>
    <r>
      <rPr>
        <b/>
        <sz val="11"/>
        <color theme="1"/>
        <rFont val="Calibri"/>
        <family val="2"/>
        <scheme val="minor"/>
      </rPr>
      <t xml:space="preserve">Crossing Lanes: </t>
    </r>
    <r>
      <rPr>
        <sz val="11"/>
        <color theme="1"/>
        <rFont val="Calibri"/>
        <family val="2"/>
        <scheme val="minor"/>
      </rPr>
      <t>The maximum sum of through lanes carrying conflicting traffic on the intersection approaches that a movement crosses without a refuge.</t>
    </r>
  </si>
  <si>
    <r>
      <rPr>
        <b/>
        <sz val="11"/>
        <color theme="1"/>
        <rFont val="Calibri"/>
        <family val="2"/>
        <scheme val="minor"/>
      </rPr>
      <t xml:space="preserve">Cross Score: </t>
    </r>
    <r>
      <rPr>
        <sz val="11"/>
        <color theme="1"/>
        <rFont val="Calibri"/>
        <family val="2"/>
        <scheme val="minor"/>
      </rPr>
      <t>A movement's cross score is the maximum sum of through lanes carrying conflicting traffic on the intersection approaches that the movement crosses without refuge.</t>
    </r>
  </si>
  <si>
    <r>
      <rPr>
        <b/>
        <sz val="11"/>
        <rFont val="Calibri"/>
        <family val="2"/>
        <scheme val="minor"/>
      </rPr>
      <t>Merge Score</t>
    </r>
    <r>
      <rPr>
        <sz val="11"/>
        <color theme="1"/>
        <rFont val="Calibri"/>
        <family val="2"/>
        <scheme val="minor"/>
      </rPr>
      <t xml:space="preserve"> is obtained from Table 5 adapted from Table 12 of the SSI Manual.</t>
    </r>
  </si>
  <si>
    <r>
      <t xml:space="preserve">The value of </t>
    </r>
    <r>
      <rPr>
        <b/>
        <sz val="11"/>
        <color theme="1"/>
        <rFont val="Calibri"/>
        <family val="2"/>
        <scheme val="minor"/>
      </rPr>
      <t>M = 1</t>
    </r>
    <r>
      <rPr>
        <sz val="11"/>
        <color theme="1"/>
        <rFont val="Calibri"/>
        <family val="2"/>
        <scheme val="minor"/>
      </rPr>
      <t xml:space="preserve"> for any turning movement merging with a through movement that is listed higher than the turning movement in the list of movements. The value of </t>
    </r>
    <r>
      <rPr>
        <b/>
        <sz val="11"/>
        <color theme="1"/>
        <rFont val="Calibri"/>
        <family val="2"/>
        <scheme val="minor"/>
      </rPr>
      <t>M = 0</t>
    </r>
    <r>
      <rPr>
        <sz val="11"/>
        <color theme="1"/>
        <rFont val="Calibri"/>
        <family val="2"/>
        <scheme val="minor"/>
      </rPr>
      <t xml:space="preserve"> otherwise.</t>
    </r>
  </si>
  <si>
    <r>
      <rPr>
        <b/>
        <sz val="11"/>
        <color theme="1"/>
        <rFont val="Calibri"/>
        <family val="2"/>
        <scheme val="minor"/>
      </rPr>
      <t>3.0 Conflicting Speed (alpha 3)</t>
    </r>
    <r>
      <rPr>
        <sz val="11"/>
        <color theme="1"/>
        <rFont val="Calibri"/>
        <family val="2"/>
        <scheme val="minor"/>
      </rPr>
      <t xml:space="preserve"> parameter is obtained from 1-(((60-Vc)/60)*(0.1/0.15)), which is adapted from Figure 29 of the SSI manual.</t>
    </r>
  </si>
  <si>
    <r>
      <rPr>
        <b/>
        <sz val="11"/>
        <color theme="1"/>
        <rFont val="Calibri"/>
        <family val="2"/>
        <scheme val="minor"/>
      </rPr>
      <t>Vc</t>
    </r>
    <r>
      <rPr>
        <sz val="11"/>
        <color theme="1"/>
        <rFont val="Calibri"/>
        <family val="2"/>
        <scheme val="minor"/>
      </rPr>
      <t xml:space="preserve"> is the highest speed of all the conflicting traffic streams for  a particular movement.</t>
    </r>
  </si>
  <si>
    <r>
      <rPr>
        <b/>
        <sz val="11"/>
        <color theme="1"/>
        <rFont val="Calibri"/>
        <family val="2"/>
        <scheme val="minor"/>
      </rPr>
      <t>The nonmotorized complexity factor, L2,</t>
    </r>
    <r>
      <rPr>
        <sz val="11"/>
        <color theme="1"/>
        <rFont val="Calibri"/>
        <family val="2"/>
        <scheme val="minor"/>
      </rPr>
      <t xml:space="preserve">  is obtained from </t>
    </r>
    <r>
      <rPr>
        <b/>
        <i/>
        <sz val="11"/>
        <color theme="1"/>
        <rFont val="Calibri"/>
        <family val="2"/>
        <scheme val="minor"/>
      </rPr>
      <t>i</t>
    </r>
    <r>
      <rPr>
        <b/>
        <sz val="8"/>
        <color theme="1"/>
        <rFont val="Calibri"/>
        <family val="2"/>
        <scheme val="minor"/>
      </rPr>
      <t>indirect</t>
    </r>
    <r>
      <rPr>
        <b/>
        <sz val="11"/>
        <color theme="1"/>
        <rFont val="Calibri"/>
        <family val="2"/>
        <scheme val="minor"/>
      </rPr>
      <t>+</t>
    </r>
    <r>
      <rPr>
        <b/>
        <i/>
        <sz val="11"/>
        <color theme="1"/>
        <rFont val="Calibri"/>
        <family val="2"/>
        <scheme val="minor"/>
      </rPr>
      <t>i</t>
    </r>
    <r>
      <rPr>
        <b/>
        <sz val="8"/>
        <color theme="1"/>
        <rFont val="Calibri"/>
        <family val="2"/>
        <scheme val="minor"/>
      </rPr>
      <t>inonintuitive</t>
    </r>
    <r>
      <rPr>
        <sz val="11"/>
        <color theme="1"/>
        <rFont val="Calibri"/>
        <family val="2"/>
        <scheme val="minor"/>
      </rPr>
      <t xml:space="preserve"> adapted from </t>
    </r>
    <r>
      <rPr>
        <b/>
        <sz val="11"/>
        <color theme="1"/>
        <rFont val="Calibri"/>
        <family val="2"/>
        <scheme val="minor"/>
      </rPr>
      <t>Figure 30</t>
    </r>
    <r>
      <rPr>
        <sz val="11"/>
        <color theme="1"/>
        <rFont val="Calibri"/>
        <family val="2"/>
        <scheme val="minor"/>
      </rPr>
      <t xml:space="preserve"> of the SSI manual.</t>
    </r>
  </si>
  <si>
    <r>
      <rPr>
        <b/>
        <sz val="11"/>
        <color theme="1"/>
        <rFont val="Calibri"/>
        <family val="2"/>
        <scheme val="minor"/>
      </rPr>
      <t>1.0 SSI score</t>
    </r>
    <r>
      <rPr>
        <sz val="11"/>
        <color theme="1"/>
        <rFont val="Calibri"/>
        <family val="2"/>
        <scheme val="minor"/>
      </rPr>
      <t xml:space="preserve"> is obtained from</t>
    </r>
    <r>
      <rPr>
        <b/>
        <sz val="11"/>
        <color theme="1"/>
        <rFont val="Calibri"/>
        <family val="2"/>
        <scheme val="minor"/>
      </rPr>
      <t xml:space="preserve"> 100*EXP((-1/13700000)*Sum of the Exposure-Severity-Complexity Product of each conflict point)</t>
    </r>
    <r>
      <rPr>
        <sz val="11"/>
        <color theme="1"/>
        <rFont val="Calibri"/>
        <family val="2"/>
        <scheme val="minor"/>
      </rPr>
      <t xml:space="preserve"> adapted from </t>
    </r>
    <r>
      <rPr>
        <b/>
        <sz val="11"/>
        <color theme="1"/>
        <rFont val="Calibri"/>
        <family val="2"/>
        <scheme val="minor"/>
      </rPr>
      <t>Figure 14</t>
    </r>
    <r>
      <rPr>
        <sz val="11"/>
        <color theme="1"/>
        <rFont val="Calibri"/>
        <family val="2"/>
        <scheme val="minor"/>
      </rPr>
      <t xml:space="preserve"> and </t>
    </r>
    <r>
      <rPr>
        <b/>
        <sz val="11"/>
        <color theme="1"/>
        <rFont val="Calibri"/>
        <family val="2"/>
        <scheme val="minor"/>
      </rPr>
      <t>Figure 15.</t>
    </r>
  </si>
  <si>
    <t>where z=13,700,000</t>
  </si>
  <si>
    <r>
      <t>E</t>
    </r>
    <r>
      <rPr>
        <sz val="8"/>
        <color rgb="FFFF0000"/>
        <rFont val="Calibri"/>
        <family val="2"/>
        <scheme val="minor"/>
      </rPr>
      <t>nonmotorised</t>
    </r>
    <r>
      <rPr>
        <sz val="11"/>
        <color rgb="FFFF0000"/>
        <rFont val="Calibri"/>
        <family val="2"/>
        <scheme val="minor"/>
      </rPr>
      <t xml:space="preserve"> is not used because non-motorized vehicles are not considered.</t>
    </r>
  </si>
  <si>
    <t>Users have to enter the traffic volume for 12 different turning movements in cells E8 to E19 in table 1.</t>
  </si>
  <si>
    <t>Users have to enter the speed limit (85th percentile) for major road through movement, minor road as well as turning vehicles in miles per hour (mph) in cells D26 to D30 in table 2.</t>
  </si>
  <si>
    <t>Users have to enter the number of through lanes in both directions for major road as well as minor road in cells E36 to E39 in table 3.</t>
  </si>
  <si>
    <t>The page tabs at the bottom of the spreadsheet represent the various features required to determine the SSI score for each intersection.  To conduct the analysis, users should input the traffic volume (AADT) for 12 turning movements (EBR, EBT, EBL, NBR, NBT, NBL, WBR, WBT, WBL, SBR, SBT, SBL) for each respective intersection design.  Additionally, users should input the vehicle speed for all movements of the major road and the number of through lanes for the major road and minor road.  The signal control type is assumed to be protected and all the non-motorized movements have been excluded from the analysis.</t>
  </si>
  <si>
    <t>Current worksheet displaying an overview, results of spreadsheet worksheets, and a description of color coding included in the worksheets.</t>
  </si>
  <si>
    <t xml:space="preserve">Please enter the traffic volume in Table 1,  the vehicle speed in Table 2,  and the Number of Through Lanes in Table 3 in the cells highlighted in yellow. The data you input will automatically update across all 15 intersection designs, so there is no need to enter information on individual sheets. In Table 1, input the traffic volume (AADT) for 12 traffic movements, and in Table 2, enter the selected vehicle speed category for the major road through movements,  turning movements, signal control near-side, and signal control far side for the minor roads. Similarly, in Table 3, enter the total number of through lanes in both approaches of major and minor roads. </t>
  </si>
  <si>
    <t xml:space="preserve">Table 1: Traffic volume involving different conflict points
This table shows the traffic volume conflicting at diverging, merging, and crossing conflict points for all intersection designs.  Column F displays the total number of conflicts for each intersection type. 
Table 2: SSI Score Results
This table shows the SSI score results for each intersection measured between 0 and 100.  Columns C to G shows the SSI score for each conflict point type for each intersection. The SSI score does not consider the non-motorized conflict type. 
Table 3: Relative exposure, average severity P(FSI), and average complexity adjustment results.
This table presents the relative exposure, average severity, and average complexity adjustment results for each intersection. Columns C to F present the relative exposure values for all the intersections for each conflict type when compared with the conventional intersection. Columns G to J provide the average severity for each conflict type of each intersection.  Columns K to N shows the average complexity adjustments for each conflict type for each intersection. The non-motorized conflict type is not considered.
Table 4: Ranking of Intersections based on SSI score
This table presents the ranking of all the intersections based on the overall intersection SSI score.  Priority is given to the overall cross-score followed by the merge score and the diverging score of each intersection in determining the ranks. 
</t>
  </si>
  <si>
    <t>Table 4: Ranking of Intersections Based on SSI Score</t>
  </si>
  <si>
    <t>Safe System Intersections (SSI) for New Alternatives- Tool</t>
  </si>
  <si>
    <r>
      <t xml:space="preserve">Stephen Osafo-Gyamfi 			
Graduate Research Assistant		
University of Mississippi
Gaurav Aryal			
Graduate Research Assistant		
University of Mississippi
Amir Mehrara Molan, Ph.D., P.E. (Corresponding Author)
Assistant Professor
University of Mississippi			
University, MS 38677			
Email: amehrara@olemiss.edu		
Phone:  +1-662-915-5362
William Rasdorf, Ph.D., P.E.
Professor			
North Carolina State University		
Ali Hajbabaie, Ph.D., P.E.
Associate Professor
North Carolina State University
Hayden Edwards
Graduate Research Assistant	
North Carolina State University
</t>
    </r>
    <r>
      <rPr>
        <b/>
        <u/>
        <sz val="11"/>
        <color theme="1"/>
        <rFont val="Calibri"/>
        <family val="2"/>
        <scheme val="minor"/>
      </rPr>
      <t>Acknowledgement</t>
    </r>
    <r>
      <rPr>
        <sz val="11"/>
        <color theme="1"/>
        <rFont val="Calibri"/>
        <family val="2"/>
        <scheme val="minor"/>
      </rPr>
      <t xml:space="preserve">
The SSI with Three Phase Signals- Tool was developed as a part of NCDOT Project 2023-20 titled "Evaluating Benefits and Drawbacks of Intersections with Three-Phase Traffic Signals" funded by North Carolina Department of Transportation.
We  also acknowledge the Federal Highway Administration (FHWA) for providing the Safe System-Based Framework and Analytical Methodology for Assessing Intersections which formed the foundation for this tool.
R. J. Porter., M. Dunn, J. Soika, I. Huang, D. Coley, A. Gross, W. Kumfer, S. Heiney, V. H. Brustlin.,., “A Safe System-Based Framework and Analytical Methodology for Assessing Intersections,” FHWA-SA-21-008, Jan. 2021. https://rosap.ntl.bts.gov/view/dot/58029                                                               </t>
    </r>
  </si>
  <si>
    <t>Note: The current SSI Tool assumes all signal controls are "Protected Only."</t>
  </si>
  <si>
    <t>Note: The current SSI tool assumes only protected signal control, therefore,minor road movements speed is governed by speed category of signal control.</t>
  </si>
  <si>
    <t>Intersection No. 2: Partial CFI</t>
  </si>
  <si>
    <t>Intersection No. 3: RCI</t>
  </si>
  <si>
    <t>Intersection No. 4: Two-Phase MUT</t>
  </si>
  <si>
    <t>2.Partial CFI</t>
  </si>
  <si>
    <t>3.RCI</t>
  </si>
  <si>
    <t>4.Two-phase MUT</t>
  </si>
  <si>
    <t>2. Partial CFI</t>
  </si>
  <si>
    <t>3. RCI</t>
  </si>
  <si>
    <t>4. Two-Phase MUT</t>
  </si>
  <si>
    <t>Following four intersection designs are included in SSI with Three Phase Signals-Tool. Individual sheets are provided for each.</t>
  </si>
  <si>
    <t xml:space="preserve">
This spreadsheet is designed to conduct a safe system analysis across intersection designs. It calculates and compares three intersection features to develop an SSI score for the diverging, merging, and crossing conflict points based on Safe System principles. These features are: 1) Exposure, 2) Conflict Point Severity, and, 3) Movement Complexity.                                                                            Users are advised to read the Instructions tab to understand how the sheet works.
</t>
  </si>
  <si>
    <t>The sheet includes an introduction and a figure for all intersections included in this tool.</t>
  </si>
  <si>
    <r>
      <t xml:space="preserve">NOTE: Following the Results worksheet, there are 4 individual worksheets dedicated to each intersection design. In these sheets, users can review detailed calculations specific to each intersection in their respective cells. Additionally, to enhance understanding of each design, a picture and a description of its operational behavior are included on their respective sheets.
All the results of each intersection design are reflected in individual sheet as well as the Results tab
</t>
    </r>
    <r>
      <rPr>
        <sz val="11"/>
        <color rgb="FFFF0000"/>
        <rFont val="Calibri"/>
        <family val="2"/>
        <scheme val="minor"/>
      </rPr>
      <t>CAUTION: Avoid deleting or modifying any cells or sheets, as they are all interconnected. Doing so would lead to errors and inaccurate output.</t>
    </r>
  </si>
  <si>
    <t>(NBL+WBT)*(NBT+WBR)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</si>
</sst>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000"/>
  </numFmts>
  <fonts count="30" x14ac:knownFonts="1">
    <font>
      <sz val="11"/>
      <color theme="1"/>
      <name val="Calibri"/>
      <family val="2"/>
      <scheme val="minor"/>
    </font>
    <font>
      <sz val="11"/>
      <color rgb="FFFFC000"/>
      <name val="Calibri"/>
      <family val="2"/>
      <scheme val="minor"/>
    </font>
    <font>
      <b/>
      <sz val="14"/>
      <color rgb="FFFF0000"/>
      <name val="Calibri"/>
      <family val="2"/>
      <scheme val="minor"/>
    </font>
    <font>
      <b/>
      <sz val="11"/>
      <color theme="1"/>
      <name val="Calibri"/>
      <family val="2"/>
      <scheme val="minor"/>
    </font>
    <font>
      <b/>
      <sz val="14"/>
      <color theme="5"/>
      <name val="Calibri"/>
      <family val="2"/>
      <scheme val="minor"/>
    </font>
    <font>
      <b/>
      <sz val="14"/>
      <color theme="4" tint="-0.249977111117893"/>
      <name val="Calibri"/>
      <family val="2"/>
      <scheme val="minor"/>
    </font>
    <font>
      <b/>
      <sz val="14"/>
      <color rgb="FF0070C0"/>
      <name val="Calibri"/>
      <family val="2"/>
      <scheme val="minor"/>
    </font>
    <font>
      <b/>
      <sz val="11"/>
      <color rgb="FF000000"/>
      <name val="Calibri"/>
      <family val="2"/>
    </font>
    <font>
      <sz val="11"/>
      <color rgb="FF000000"/>
      <name val="Calibri"/>
      <family val="2"/>
    </font>
    <font>
      <sz val="11"/>
      <color theme="1"/>
      <name val="Calibri"/>
      <family val="2"/>
      <scheme val="minor"/>
    </font>
    <font>
      <sz val="11"/>
      <name val="Calibri"/>
      <family val="2"/>
      <scheme val="minor"/>
    </font>
    <font>
      <b/>
      <sz val="11"/>
      <name val="Calibri"/>
      <family val="2"/>
      <scheme val="minor"/>
    </font>
    <font>
      <b/>
      <u/>
      <sz val="11"/>
      <color theme="1"/>
      <name val="Calibri"/>
      <family val="2"/>
      <scheme val="minor"/>
    </font>
    <font>
      <b/>
      <u/>
      <sz val="10"/>
      <name val="Arial"/>
      <family val="2"/>
    </font>
    <font>
      <sz val="10"/>
      <name val="Arial"/>
      <family val="2"/>
    </font>
    <font>
      <u/>
      <sz val="10"/>
      <name val="Arial"/>
      <family val="2"/>
    </font>
    <font>
      <b/>
      <sz val="11"/>
      <color rgb="FF000000"/>
      <name val="Calibri"/>
      <family val="2"/>
      <scheme val="minor"/>
    </font>
    <font>
      <sz val="12"/>
      <color theme="1"/>
      <name val="Calibri"/>
      <family val="2"/>
      <scheme val="minor"/>
    </font>
    <font>
      <sz val="11"/>
      <color rgb="FFFF0000"/>
      <name val="Calibri"/>
      <family val="2"/>
      <scheme val="minor"/>
    </font>
    <font>
      <sz val="11"/>
      <color theme="1"/>
      <name val="Calibri"/>
      <family val="2"/>
      <charset val="1"/>
      <scheme val="minor"/>
    </font>
    <font>
      <b/>
      <sz val="11"/>
      <color rgb="FFFF0000"/>
      <name val="Calibri"/>
      <family val="2"/>
      <scheme val="minor"/>
    </font>
    <font>
      <sz val="11"/>
      <name val="Calibri"/>
      <family val="2"/>
      <charset val="1"/>
      <scheme val="minor"/>
    </font>
    <font>
      <sz val="11"/>
      <color rgb="FF000000"/>
      <name val="Calibri"/>
      <family val="2"/>
      <scheme val="minor"/>
    </font>
    <font>
      <sz val="8"/>
      <name val="Calibri"/>
      <family val="2"/>
      <scheme val="minor"/>
    </font>
    <font>
      <b/>
      <sz val="11"/>
      <color rgb="FFC00000"/>
      <name val="Calibri"/>
      <family val="2"/>
      <scheme val="minor"/>
    </font>
    <font>
      <sz val="11"/>
      <color rgb="FFC00000"/>
      <name val="Calibri"/>
      <family val="2"/>
      <scheme val="minor"/>
    </font>
    <font>
      <sz val="8"/>
      <color theme="1"/>
      <name val="Calibri"/>
      <family val="2"/>
      <scheme val="minor"/>
    </font>
    <font>
      <b/>
      <sz val="8"/>
      <color theme="1"/>
      <name val="Calibri"/>
      <family val="2"/>
      <scheme val="minor"/>
    </font>
    <font>
      <b/>
      <i/>
      <sz val="11"/>
      <color theme="1"/>
      <name val="Calibri"/>
      <family val="2"/>
      <scheme val="minor"/>
    </font>
    <font>
      <sz val="8"/>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39997558519241921"/>
        <bgColor indexed="64"/>
      </patternFill>
    </fill>
    <fill>
      <patternFill patternType="solid">
        <fgColor rgb="FFEA7275"/>
        <bgColor indexed="64"/>
      </patternFill>
    </fill>
    <fill>
      <patternFill patternType="solid">
        <fgColor theme="0" tint="-0.14999847407452621"/>
        <bgColor indexed="64"/>
      </patternFill>
    </fill>
    <fill>
      <patternFill patternType="solid">
        <fgColor rgb="FFEF9193"/>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double">
        <color auto="1"/>
      </left>
      <right style="double">
        <color auto="1"/>
      </right>
      <top style="double">
        <color auto="1"/>
      </top>
      <bottom style="double">
        <color auto="1"/>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bottom style="double">
        <color auto="1"/>
      </bottom>
      <diagonal/>
    </border>
    <border>
      <left style="double">
        <color auto="1"/>
      </left>
      <right style="thin">
        <color indexed="64"/>
      </right>
      <top/>
      <bottom style="double">
        <color auto="1"/>
      </bottom>
      <diagonal/>
    </border>
    <border>
      <left style="double">
        <color auto="1"/>
      </left>
      <right/>
      <top style="double">
        <color auto="1"/>
      </top>
      <bottom style="thin">
        <color indexed="64"/>
      </bottom>
      <diagonal/>
    </border>
    <border>
      <left style="double">
        <color auto="1"/>
      </left>
      <right/>
      <top style="thin">
        <color indexed="64"/>
      </top>
      <bottom style="thin">
        <color indexed="64"/>
      </bottom>
      <diagonal/>
    </border>
    <border>
      <left style="double">
        <color auto="1"/>
      </left>
      <right/>
      <top style="thin">
        <color indexed="64"/>
      </top>
      <bottom style="double">
        <color auto="1"/>
      </bottom>
      <diagonal/>
    </border>
    <border>
      <left style="double">
        <color auto="1"/>
      </left>
      <right style="double">
        <color auto="1"/>
      </right>
      <top style="double">
        <color auto="1"/>
      </top>
      <bottom style="thin">
        <color indexed="64"/>
      </bottom>
      <diagonal/>
    </border>
    <border>
      <left style="double">
        <color auto="1"/>
      </left>
      <right style="double">
        <color auto="1"/>
      </right>
      <top style="thin">
        <color indexed="64"/>
      </top>
      <bottom style="thin">
        <color indexed="64"/>
      </bottom>
      <diagonal/>
    </border>
    <border>
      <left style="double">
        <color auto="1"/>
      </left>
      <right style="double">
        <color auto="1"/>
      </right>
      <top style="thin">
        <color indexed="64"/>
      </top>
      <bottom style="double">
        <color auto="1"/>
      </bottom>
      <diagonal/>
    </border>
    <border>
      <left style="double">
        <color auto="1"/>
      </left>
      <right style="double">
        <color auto="1"/>
      </right>
      <top/>
      <bottom style="double">
        <color auto="1"/>
      </bottom>
      <diagonal/>
    </border>
    <border>
      <left/>
      <right/>
      <top style="thin">
        <color indexed="64"/>
      </top>
      <bottom style="double">
        <color auto="1"/>
      </bottom>
      <diagonal/>
    </border>
    <border>
      <left/>
      <right/>
      <top style="double">
        <color auto="1"/>
      </top>
      <bottom style="thin">
        <color indexed="64"/>
      </bottom>
      <diagonal/>
    </border>
    <border>
      <left style="double">
        <color auto="1"/>
      </left>
      <right style="double">
        <color auto="1"/>
      </right>
      <top style="double">
        <color auto="1"/>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auto="1"/>
      </left>
      <right/>
      <top/>
      <bottom style="thin">
        <color indexed="64"/>
      </bottom>
      <diagonal/>
    </border>
    <border>
      <left/>
      <right style="double">
        <color auto="1"/>
      </right>
      <top style="double">
        <color auto="1"/>
      </top>
      <bottom style="thin">
        <color indexed="64"/>
      </bottom>
      <diagonal/>
    </border>
    <border>
      <left/>
      <right style="double">
        <color auto="1"/>
      </right>
      <top style="thin">
        <color indexed="64"/>
      </top>
      <bottom style="thin">
        <color indexed="64"/>
      </bottom>
      <diagonal/>
    </border>
    <border>
      <left/>
      <right style="double">
        <color auto="1"/>
      </right>
      <top style="thin">
        <color indexed="64"/>
      </top>
      <bottom style="double">
        <color auto="1"/>
      </bottom>
      <diagonal/>
    </border>
    <border>
      <left style="thin">
        <color indexed="64"/>
      </left>
      <right/>
      <top style="double">
        <color indexed="64"/>
      </top>
      <bottom style="double">
        <color indexed="64"/>
      </bottom>
      <diagonal/>
    </border>
    <border>
      <left style="thin">
        <color indexed="64"/>
      </left>
      <right/>
      <top/>
      <bottom style="double">
        <color auto="1"/>
      </bottom>
      <diagonal/>
    </border>
    <border>
      <left style="double">
        <color auto="1"/>
      </left>
      <right style="double">
        <color auto="1"/>
      </right>
      <top/>
      <bottom/>
      <diagonal/>
    </border>
    <border>
      <left style="double">
        <color auto="1"/>
      </left>
      <right style="double">
        <color auto="1"/>
      </right>
      <top/>
      <bottom style="thin">
        <color indexed="64"/>
      </bottom>
      <diagonal/>
    </border>
    <border>
      <left style="double">
        <color auto="1"/>
      </left>
      <right style="double">
        <color auto="1"/>
      </right>
      <top style="thin">
        <color indexed="64"/>
      </top>
      <bottom/>
      <diagonal/>
    </border>
    <border>
      <left/>
      <right style="double">
        <color auto="1"/>
      </right>
      <top style="thin">
        <color indexed="64"/>
      </top>
      <bottom/>
      <diagonal/>
    </border>
    <border>
      <left style="double">
        <color auto="1"/>
      </left>
      <right/>
      <top style="thin">
        <color indexed="64"/>
      </top>
      <bottom/>
      <diagonal/>
    </border>
    <border>
      <left style="double">
        <color rgb="FF000000"/>
      </left>
      <right style="double">
        <color auto="1"/>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double">
        <color auto="1"/>
      </right>
      <top style="double">
        <color auto="1"/>
      </top>
      <bottom style="double">
        <color auto="1"/>
      </bottom>
      <diagonal/>
    </border>
    <border>
      <left style="medium">
        <color indexed="64"/>
      </left>
      <right style="double">
        <color auto="1"/>
      </right>
      <top/>
      <bottom style="double">
        <color auto="1"/>
      </bottom>
      <diagonal/>
    </border>
    <border>
      <left style="medium">
        <color indexed="64"/>
      </left>
      <right style="double">
        <color auto="1"/>
      </right>
      <top style="double">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double">
        <color auto="1"/>
      </right>
      <top/>
      <bottom style="double">
        <color auto="1"/>
      </bottom>
      <diagonal/>
    </border>
    <border>
      <left style="double">
        <color auto="1"/>
      </left>
      <right/>
      <top/>
      <bottom/>
      <diagonal/>
    </border>
    <border>
      <left/>
      <right style="double">
        <color auto="1"/>
      </right>
      <top/>
      <bottom/>
      <diagonal/>
    </border>
    <border>
      <left style="medium">
        <color indexed="64"/>
      </left>
      <right/>
      <top/>
      <bottom style="double">
        <color auto="1"/>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thin">
        <color indexed="64"/>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double">
        <color indexed="64"/>
      </top>
      <bottom/>
      <diagonal/>
    </border>
    <border>
      <left style="medium">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double">
        <color auto="1"/>
      </right>
      <top/>
      <bottom/>
      <diagonal/>
    </border>
    <border>
      <left style="medium">
        <color auto="1"/>
      </left>
      <right/>
      <top style="double">
        <color auto="1"/>
      </top>
      <bottom style="double">
        <color auto="1"/>
      </bottom>
      <diagonal/>
    </border>
    <border>
      <left style="medium">
        <color auto="1"/>
      </left>
      <right style="thin">
        <color indexed="64"/>
      </right>
      <top style="double">
        <color auto="1"/>
      </top>
      <bottom style="thin">
        <color indexed="64"/>
      </bottom>
      <diagonal/>
    </border>
    <border>
      <left style="medium">
        <color auto="1"/>
      </left>
      <right style="thin">
        <color indexed="64"/>
      </right>
      <top style="thin">
        <color indexed="64"/>
      </top>
      <bottom style="thin">
        <color indexed="64"/>
      </bottom>
      <diagonal/>
    </border>
    <border>
      <left style="medium">
        <color auto="1"/>
      </left>
      <right style="thin">
        <color indexed="64"/>
      </right>
      <top style="thin">
        <color indexed="64"/>
      </top>
      <bottom style="double">
        <color auto="1"/>
      </bottom>
      <diagonal/>
    </border>
  </borders>
  <cellStyleXfs count="2">
    <xf numFmtId="0" fontId="0" fillId="0" borderId="0"/>
    <xf numFmtId="0" fontId="19" fillId="0" borderId="0"/>
  </cellStyleXfs>
  <cellXfs count="719">
    <xf numFmtId="0" fontId="0" fillId="0" borderId="0" xfId="0"/>
    <xf numFmtId="0" fontId="0" fillId="0" borderId="8" xfId="0" applyBorder="1"/>
    <xf numFmtId="0" fontId="0" fillId="0" borderId="15" xfId="0" applyBorder="1"/>
    <xf numFmtId="0" fontId="0" fillId="0" borderId="16" xfId="0" applyBorder="1"/>
    <xf numFmtId="0" fontId="0" fillId="0" borderId="17" xfId="0" applyBorder="1"/>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21" xfId="0" applyFont="1" applyBorder="1" applyAlignment="1">
      <alignment horizontal="center" vertical="center"/>
    </xf>
    <xf numFmtId="0" fontId="0" fillId="4" borderId="0" xfId="0" applyFill="1"/>
    <xf numFmtId="0" fontId="0" fillId="5" borderId="3" xfId="0" applyFill="1" applyBorder="1"/>
    <xf numFmtId="0" fontId="0" fillId="5" borderId="2" xfId="0" applyFill="1" applyBorder="1"/>
    <xf numFmtId="0" fontId="0" fillId="2" borderId="3" xfId="0" applyFill="1" applyBorder="1"/>
    <xf numFmtId="0" fontId="0" fillId="2" borderId="2" xfId="0" applyFill="1" applyBorder="1"/>
    <xf numFmtId="0" fontId="0" fillId="6" borderId="3" xfId="0" applyFill="1" applyBorder="1"/>
    <xf numFmtId="0" fontId="0" fillId="6" borderId="2" xfId="0" applyFill="1" applyBorder="1"/>
    <xf numFmtId="0" fontId="0" fillId="4" borderId="0" xfId="0" applyFill="1" applyAlignment="1">
      <alignment horizontal="center"/>
    </xf>
    <xf numFmtId="0" fontId="3" fillId="4" borderId="0" xfId="0" applyFont="1" applyFill="1"/>
    <xf numFmtId="0" fontId="3" fillId="5" borderId="5" xfId="0" applyFont="1" applyFill="1" applyBorder="1" applyAlignment="1">
      <alignment horizontal="center" vertical="center"/>
    </xf>
    <xf numFmtId="0" fontId="11" fillId="5" borderId="5"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32" xfId="0" applyFont="1" applyFill="1" applyBorder="1" applyAlignment="1">
      <alignment horizontal="center" vertical="center"/>
    </xf>
    <xf numFmtId="0" fontId="1" fillId="4" borderId="0" xfId="0" applyFont="1" applyFill="1"/>
    <xf numFmtId="0" fontId="10" fillId="4" borderId="21" xfId="0" applyFont="1" applyFill="1" applyBorder="1" applyAlignment="1">
      <alignment horizontal="center" vertical="center"/>
    </xf>
    <xf numFmtId="3" fontId="8" fillId="4" borderId="14" xfId="0" applyNumberFormat="1" applyFont="1" applyFill="1" applyBorder="1" applyAlignment="1">
      <alignment horizontal="center"/>
    </xf>
    <xf numFmtId="3" fontId="8" fillId="4" borderId="13" xfId="0" applyNumberFormat="1" applyFont="1" applyFill="1" applyBorder="1" applyAlignment="1">
      <alignment horizontal="center"/>
    </xf>
    <xf numFmtId="3" fontId="8" fillId="4" borderId="33" xfId="0" applyNumberFormat="1" applyFont="1" applyFill="1" applyBorder="1" applyAlignment="1">
      <alignment horizontal="center"/>
    </xf>
    <xf numFmtId="3" fontId="8" fillId="4" borderId="21" xfId="0" applyNumberFormat="1" applyFont="1" applyFill="1" applyBorder="1" applyAlignment="1">
      <alignment horizontal="center"/>
    </xf>
    <xf numFmtId="0" fontId="0" fillId="4" borderId="0" xfId="0" applyFill="1" applyAlignment="1">
      <alignment horizontal="center" vertical="center"/>
    </xf>
    <xf numFmtId="0" fontId="3" fillId="4" borderId="0" xfId="0" applyFont="1" applyFill="1" applyAlignment="1">
      <alignment horizontal="left" vertical="center"/>
    </xf>
    <xf numFmtId="0" fontId="10" fillId="4" borderId="5" xfId="0" applyFont="1" applyFill="1" applyBorder="1" applyAlignment="1">
      <alignment horizontal="center" vertical="center"/>
    </xf>
    <xf numFmtId="1" fontId="7" fillId="4" borderId="0" xfId="0" applyNumberFormat="1" applyFont="1" applyFill="1" applyAlignment="1">
      <alignment horizontal="center"/>
    </xf>
    <xf numFmtId="0" fontId="2" fillId="4" borderId="0" xfId="0" applyFont="1" applyFill="1"/>
    <xf numFmtId="0" fontId="3" fillId="5" borderId="41" xfId="0" applyFont="1" applyFill="1" applyBorder="1" applyAlignment="1">
      <alignment horizontal="center" vertical="center"/>
    </xf>
    <xf numFmtId="0" fontId="0" fillId="5" borderId="41" xfId="0" applyFill="1" applyBorder="1"/>
    <xf numFmtId="0" fontId="0" fillId="5" borderId="41" xfId="0" applyFill="1" applyBorder="1" applyAlignment="1">
      <alignment horizontal="center"/>
    </xf>
    <xf numFmtId="0" fontId="1" fillId="5" borderId="41" xfId="0" applyFont="1" applyFill="1" applyBorder="1"/>
    <xf numFmtId="0" fontId="0" fillId="5" borderId="42" xfId="0" applyFill="1" applyBorder="1"/>
    <xf numFmtId="0" fontId="0" fillId="4" borderId="43" xfId="0" applyFill="1" applyBorder="1"/>
    <xf numFmtId="0" fontId="0" fillId="4" borderId="44" xfId="0" applyFill="1" applyBorder="1"/>
    <xf numFmtId="0" fontId="0" fillId="4" borderId="48" xfId="0" applyFill="1" applyBorder="1"/>
    <xf numFmtId="0" fontId="0" fillId="4" borderId="49" xfId="0" applyFill="1" applyBorder="1"/>
    <xf numFmtId="0" fontId="0" fillId="4" borderId="50" xfId="0" applyFill="1" applyBorder="1"/>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20" xfId="0" applyFill="1" applyBorder="1" applyAlignment="1">
      <alignment horizontal="center" vertical="center"/>
    </xf>
    <xf numFmtId="0" fontId="0" fillId="4" borderId="8" xfId="0" applyFill="1" applyBorder="1"/>
    <xf numFmtId="0" fontId="3" fillId="4" borderId="21" xfId="0" applyFont="1" applyFill="1" applyBorder="1" applyAlignment="1">
      <alignment horizontal="center" vertical="center"/>
    </xf>
    <xf numFmtId="0" fontId="0" fillId="3" borderId="3" xfId="0" applyFill="1" applyBorder="1"/>
    <xf numFmtId="0" fontId="0" fillId="3" borderId="2" xfId="0" applyFill="1" applyBorder="1"/>
    <xf numFmtId="3" fontId="7" fillId="2" borderId="24" xfId="0" applyNumberFormat="1" applyFont="1" applyFill="1" applyBorder="1" applyAlignment="1">
      <alignment horizontal="center" vertical="center"/>
    </xf>
    <xf numFmtId="3" fontId="7" fillId="2" borderId="19" xfId="0" applyNumberFormat="1" applyFont="1" applyFill="1" applyBorder="1" applyAlignment="1">
      <alignment horizontal="center" vertical="center"/>
    </xf>
    <xf numFmtId="3" fontId="7" fillId="2" borderId="20"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3" fontId="3" fillId="0" borderId="21" xfId="0" applyNumberFormat="1" applyFont="1" applyBorder="1" applyAlignment="1">
      <alignment horizontal="center" vertical="center"/>
    </xf>
    <xf numFmtId="3" fontId="7" fillId="2" borderId="24" xfId="0" applyNumberFormat="1" applyFont="1" applyFill="1" applyBorder="1" applyAlignment="1" applyProtection="1">
      <alignment horizontal="center"/>
      <protection locked="0"/>
    </xf>
    <xf numFmtId="3" fontId="7" fillId="2" borderId="19" xfId="0" applyNumberFormat="1" applyFont="1" applyFill="1" applyBorder="1" applyAlignment="1" applyProtection="1">
      <alignment horizontal="center"/>
      <protection locked="0"/>
    </xf>
    <xf numFmtId="3" fontId="7" fillId="2" borderId="20" xfId="0" applyNumberFormat="1" applyFont="1" applyFill="1" applyBorder="1" applyAlignment="1" applyProtection="1">
      <alignment horizontal="center"/>
      <protection locked="0"/>
    </xf>
    <xf numFmtId="3" fontId="7" fillId="2" borderId="18" xfId="0" applyNumberFormat="1" applyFont="1" applyFill="1" applyBorder="1" applyAlignment="1" applyProtection="1">
      <alignment horizontal="center"/>
      <protection locked="0"/>
    </xf>
    <xf numFmtId="0" fontId="3" fillId="2" borderId="18"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3" fontId="3" fillId="4" borderId="21" xfId="0" applyNumberFormat="1" applyFont="1" applyFill="1" applyBorder="1" applyAlignment="1" applyProtection="1">
      <alignment horizontal="center"/>
      <protection locked="0"/>
    </xf>
    <xf numFmtId="0" fontId="0" fillId="4" borderId="0" xfId="0" applyFill="1" applyAlignment="1">
      <alignment vertical="center"/>
    </xf>
    <xf numFmtId="0" fontId="3" fillId="4" borderId="0" xfId="0" applyFont="1" applyFill="1" applyAlignment="1">
      <alignment vertical="center"/>
    </xf>
    <xf numFmtId="0" fontId="3" fillId="4" borderId="55" xfId="0" applyFont="1" applyFill="1" applyBorder="1" applyAlignment="1">
      <alignment horizontal="center" vertical="top"/>
    </xf>
    <xf numFmtId="0" fontId="0" fillId="4" borderId="55" xfId="0" applyFill="1" applyBorder="1"/>
    <xf numFmtId="0" fontId="0" fillId="4" borderId="55" xfId="0" applyFill="1" applyBorder="1" applyAlignment="1">
      <alignment horizontal="left" vertical="top" wrapText="1"/>
    </xf>
    <xf numFmtId="0" fontId="0" fillId="4" borderId="15"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3" fillId="0" borderId="5" xfId="0" applyFont="1" applyBorder="1" applyAlignment="1">
      <alignment horizontal="center" vertical="center"/>
    </xf>
    <xf numFmtId="0" fontId="6" fillId="0" borderId="15" xfId="1" applyFont="1" applyBorder="1" applyAlignment="1">
      <alignment horizontal="center"/>
    </xf>
    <xf numFmtId="0" fontId="6" fillId="0" borderId="16" xfId="1" applyFont="1" applyBorder="1" applyAlignment="1">
      <alignment horizontal="center"/>
    </xf>
    <xf numFmtId="0" fontId="5" fillId="0" borderId="16" xfId="1" applyFont="1" applyBorder="1" applyAlignment="1">
      <alignment horizontal="center"/>
    </xf>
    <xf numFmtId="0" fontId="5" fillId="0" borderId="17" xfId="1" applyFont="1" applyBorder="1" applyAlignment="1">
      <alignment horizontal="center"/>
    </xf>
    <xf numFmtId="0" fontId="4" fillId="0" borderId="28" xfId="1" applyFont="1" applyBorder="1" applyAlignment="1">
      <alignment horizontal="center"/>
    </xf>
    <xf numFmtId="0" fontId="4" fillId="0" borderId="16" xfId="1" applyFont="1" applyBorder="1" applyAlignment="1">
      <alignment horizontal="center"/>
    </xf>
    <xf numFmtId="0" fontId="4" fillId="0" borderId="17" xfId="1" applyFont="1" applyBorder="1" applyAlignment="1">
      <alignment horizontal="center"/>
    </xf>
    <xf numFmtId="0" fontId="2" fillId="0" borderId="15" xfId="1" applyFont="1" applyBorder="1" applyAlignment="1">
      <alignment horizontal="center"/>
    </xf>
    <xf numFmtId="0" fontId="2" fillId="0" borderId="16" xfId="1" applyFont="1" applyBorder="1" applyAlignment="1">
      <alignment horizontal="center"/>
    </xf>
    <xf numFmtId="0" fontId="2" fillId="0" borderId="17" xfId="1" applyFont="1" applyBorder="1" applyAlignment="1">
      <alignment horizontal="center"/>
    </xf>
    <xf numFmtId="0" fontId="4" fillId="0" borderId="15" xfId="1" applyFont="1" applyBorder="1" applyAlignment="1">
      <alignment horizontal="center"/>
    </xf>
    <xf numFmtId="0" fontId="2" fillId="0" borderId="38" xfId="1" applyFont="1" applyBorder="1" applyAlignment="1">
      <alignment horizontal="center"/>
    </xf>
    <xf numFmtId="0" fontId="5" fillId="0" borderId="38" xfId="1" applyFont="1" applyBorder="1" applyAlignment="1">
      <alignment horizontal="center"/>
    </xf>
    <xf numFmtId="0" fontId="4" fillId="0" borderId="38" xfId="1" applyFont="1" applyBorder="1" applyAlignment="1">
      <alignment horizontal="center"/>
    </xf>
    <xf numFmtId="0" fontId="2" fillId="0" borderId="18" xfId="1" applyFont="1" applyBorder="1" applyAlignment="1">
      <alignment horizontal="center"/>
    </xf>
    <xf numFmtId="0" fontId="2" fillId="0" borderId="19" xfId="1" applyFont="1" applyBorder="1" applyAlignment="1">
      <alignment horizontal="center"/>
    </xf>
    <xf numFmtId="0" fontId="2" fillId="0" borderId="20" xfId="1" applyFont="1" applyBorder="1" applyAlignment="1">
      <alignment horizontal="center"/>
    </xf>
    <xf numFmtId="0" fontId="0" fillId="4" borderId="0" xfId="0" applyFill="1" applyAlignment="1">
      <alignment horizontal="left" vertical="top" wrapText="1"/>
    </xf>
    <xf numFmtId="0" fontId="0" fillId="4" borderId="0" xfId="0" applyFill="1" applyAlignment="1">
      <alignment horizontal="left" wrapText="1"/>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2" borderId="18" xfId="0" applyFont="1" applyFill="1" applyBorder="1" applyAlignment="1">
      <alignment horizontal="center"/>
    </xf>
    <xf numFmtId="0" fontId="3" fillId="2" borderId="20" xfId="0" applyFont="1" applyFill="1" applyBorder="1" applyAlignment="1">
      <alignment horizontal="center"/>
    </xf>
    <xf numFmtId="0" fontId="3" fillId="4" borderId="43" xfId="0" applyFont="1" applyFill="1" applyBorder="1" applyAlignment="1">
      <alignment horizontal="center" vertical="center"/>
    </xf>
    <xf numFmtId="1" fontId="3" fillId="4" borderId="0" xfId="0" applyNumberFormat="1" applyFont="1" applyFill="1" applyAlignment="1">
      <alignment horizontal="left"/>
    </xf>
    <xf numFmtId="0" fontId="0" fillId="4" borderId="0" xfId="0" applyFill="1" applyAlignment="1">
      <alignment horizontal="left"/>
    </xf>
    <xf numFmtId="1" fontId="0" fillId="4" borderId="0" xfId="0" applyNumberFormat="1" applyFill="1"/>
    <xf numFmtId="3" fontId="0" fillId="4" borderId="0" xfId="0" applyNumberFormat="1" applyFill="1"/>
    <xf numFmtId="0" fontId="3" fillId="4" borderId="10" xfId="0" applyFont="1" applyFill="1" applyBorder="1" applyAlignment="1">
      <alignment horizontal="center"/>
    </xf>
    <xf numFmtId="0" fontId="3" fillId="4" borderId="12" xfId="0" applyFont="1" applyFill="1" applyBorder="1" applyAlignment="1">
      <alignment horizontal="center"/>
    </xf>
    <xf numFmtId="0" fontId="0" fillId="4" borderId="24" xfId="0" applyFill="1" applyBorder="1" applyAlignment="1">
      <alignment horizontal="center" vertical="center"/>
    </xf>
    <xf numFmtId="0" fontId="0" fillId="4" borderId="36" xfId="0" applyFill="1" applyBorder="1" applyAlignment="1">
      <alignment horizontal="center" vertical="center"/>
    </xf>
    <xf numFmtId="0" fontId="0" fillId="4" borderId="18" xfId="0" applyFill="1" applyBorder="1" applyAlignment="1">
      <alignment horizontal="center"/>
    </xf>
    <xf numFmtId="0" fontId="0" fillId="4" borderId="20" xfId="0" applyFill="1" applyBorder="1" applyAlignment="1">
      <alignment horizontal="center"/>
    </xf>
    <xf numFmtId="1" fontId="8" fillId="4" borderId="18" xfId="0" applyNumberFormat="1" applyFont="1" applyFill="1" applyBorder="1" applyAlignment="1">
      <alignment horizontal="center"/>
    </xf>
    <xf numFmtId="1" fontId="8" fillId="4" borderId="19" xfId="0" applyNumberFormat="1" applyFont="1" applyFill="1" applyBorder="1" applyAlignment="1">
      <alignment horizontal="center"/>
    </xf>
    <xf numFmtId="0" fontId="3" fillId="2" borderId="19" xfId="0" applyFont="1" applyFill="1" applyBorder="1" applyAlignment="1">
      <alignment horizontal="center"/>
    </xf>
    <xf numFmtId="0" fontId="0" fillId="4" borderId="19" xfId="0" applyFill="1" applyBorder="1" applyAlignment="1">
      <alignment horizontal="center"/>
    </xf>
    <xf numFmtId="0" fontId="4" fillId="4" borderId="19" xfId="0" applyFont="1" applyFill="1" applyBorder="1" applyAlignment="1">
      <alignment horizontal="center"/>
    </xf>
    <xf numFmtId="0" fontId="3" fillId="2" borderId="5" xfId="0" applyFont="1" applyFill="1" applyBorder="1" applyAlignment="1">
      <alignment horizontal="center" vertical="center"/>
    </xf>
    <xf numFmtId="0" fontId="3" fillId="0" borderId="5" xfId="1" applyFont="1" applyBorder="1" applyAlignment="1">
      <alignment horizontal="center" vertical="center"/>
    </xf>
    <xf numFmtId="0" fontId="6" fillId="0" borderId="15" xfId="1" applyFont="1" applyBorder="1" applyAlignment="1">
      <alignment horizontal="center" vertical="center"/>
    </xf>
    <xf numFmtId="0" fontId="19" fillId="0" borderId="18" xfId="1" applyBorder="1" applyAlignment="1">
      <alignment horizontal="center" vertical="center"/>
    </xf>
    <xf numFmtId="0" fontId="6" fillId="0" borderId="16" xfId="1" applyFont="1" applyBorder="1" applyAlignment="1">
      <alignment horizontal="center" vertical="center"/>
    </xf>
    <xf numFmtId="0" fontId="19" fillId="0" borderId="19" xfId="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19" fillId="0" borderId="20" xfId="1" applyBorder="1" applyAlignment="1">
      <alignment horizontal="center" vertical="center"/>
    </xf>
    <xf numFmtId="0" fontId="4" fillId="0" borderId="28" xfId="1" applyFont="1" applyBorder="1" applyAlignment="1">
      <alignment horizontal="center" vertical="center"/>
    </xf>
    <xf numFmtId="0" fontId="4" fillId="0" borderId="16" xfId="1" applyFont="1" applyBorder="1" applyAlignment="1">
      <alignment horizontal="center" vertical="center"/>
    </xf>
    <xf numFmtId="0" fontId="4" fillId="0" borderId="17" xfId="1" applyFont="1" applyBorder="1" applyAlignment="1">
      <alignment horizontal="center" vertical="center"/>
    </xf>
    <xf numFmtId="0" fontId="2" fillId="0" borderId="15" xfId="1" applyFont="1" applyBorder="1" applyAlignment="1">
      <alignment horizontal="center" vertical="center"/>
    </xf>
    <xf numFmtId="0" fontId="2" fillId="0" borderId="16" xfId="1" applyFont="1" applyBorder="1" applyAlignment="1">
      <alignment horizontal="center" vertical="center"/>
    </xf>
    <xf numFmtId="0" fontId="2" fillId="0" borderId="17" xfId="1" applyFont="1" applyBorder="1" applyAlignment="1">
      <alignment horizontal="center" vertical="center"/>
    </xf>
    <xf numFmtId="0" fontId="4" fillId="0" borderId="15" xfId="1" applyFont="1" applyBorder="1" applyAlignment="1">
      <alignment horizontal="center" vertical="center"/>
    </xf>
    <xf numFmtId="0" fontId="2" fillId="0" borderId="38" xfId="1" applyFont="1" applyBorder="1" applyAlignment="1">
      <alignment horizontal="center" vertical="center"/>
    </xf>
    <xf numFmtId="0" fontId="5" fillId="0" borderId="38" xfId="1" applyFont="1" applyBorder="1" applyAlignment="1">
      <alignment horizontal="center" vertical="center"/>
    </xf>
    <xf numFmtId="0" fontId="4" fillId="0" borderId="38" xfId="1" applyFont="1" applyBorder="1" applyAlignment="1">
      <alignment horizontal="center" vertical="center"/>
    </xf>
    <xf numFmtId="0" fontId="2" fillId="0" borderId="18" xfId="1" applyFont="1" applyBorder="1" applyAlignment="1">
      <alignment horizontal="center" vertical="center"/>
    </xf>
    <xf numFmtId="0" fontId="2" fillId="0" borderId="19" xfId="1" applyFont="1" applyBorder="1" applyAlignment="1">
      <alignment horizontal="center" vertical="center"/>
    </xf>
    <xf numFmtId="0" fontId="2" fillId="0" borderId="20" xfId="1" applyFont="1" applyBorder="1" applyAlignment="1">
      <alignment horizontal="center" vertical="center"/>
    </xf>
    <xf numFmtId="165" fontId="19" fillId="0" borderId="18" xfId="1" applyNumberFormat="1" applyBorder="1" applyAlignment="1">
      <alignment horizontal="center" vertical="center"/>
    </xf>
    <xf numFmtId="0" fontId="21" fillId="0" borderId="19" xfId="1" applyFont="1" applyBorder="1" applyAlignment="1">
      <alignment horizontal="center" vertical="center"/>
    </xf>
    <xf numFmtId="0" fontId="3" fillId="0" borderId="5" xfId="1" applyFont="1" applyBorder="1" applyAlignment="1">
      <alignment horizontal="center" vertical="center" wrapText="1"/>
    </xf>
    <xf numFmtId="0" fontId="9" fillId="0" borderId="51" xfId="1" applyFont="1" applyBorder="1" applyAlignment="1">
      <alignment horizontal="center"/>
    </xf>
    <xf numFmtId="0" fontId="21" fillId="0" borderId="18" xfId="1" applyFont="1" applyBorder="1" applyAlignment="1">
      <alignment horizontal="center" vertical="center"/>
    </xf>
    <xf numFmtId="2" fontId="21" fillId="0" borderId="18" xfId="1" applyNumberFormat="1" applyFont="1" applyBorder="1" applyAlignment="1">
      <alignment horizontal="center" vertical="center"/>
    </xf>
    <xf numFmtId="0" fontId="9" fillId="0" borderId="19" xfId="1" applyFont="1" applyBorder="1" applyAlignment="1">
      <alignment horizontal="center"/>
    </xf>
    <xf numFmtId="2" fontId="21" fillId="0" borderId="19" xfId="1" applyNumberFormat="1" applyFont="1" applyBorder="1" applyAlignment="1">
      <alignment horizontal="center" vertical="center"/>
    </xf>
    <xf numFmtId="0" fontId="9" fillId="0" borderId="36" xfId="1" applyFont="1" applyBorder="1" applyAlignment="1">
      <alignment horizontal="center"/>
    </xf>
    <xf numFmtId="0" fontId="21" fillId="0" borderId="20" xfId="1" applyFont="1" applyBorder="1" applyAlignment="1">
      <alignment horizontal="center" vertical="center"/>
    </xf>
    <xf numFmtId="2" fontId="21" fillId="0" borderId="20" xfId="1" applyNumberFormat="1" applyFont="1" applyBorder="1" applyAlignment="1">
      <alignment horizontal="center" vertical="center"/>
    </xf>
    <xf numFmtId="0" fontId="9" fillId="0" borderId="18" xfId="1" applyFont="1" applyBorder="1" applyAlignment="1">
      <alignment horizontal="center"/>
    </xf>
    <xf numFmtId="0" fontId="9" fillId="0" borderId="20" xfId="1" applyFont="1" applyBorder="1" applyAlignment="1">
      <alignment horizontal="center"/>
    </xf>
    <xf numFmtId="0" fontId="9" fillId="0" borderId="35" xfId="1" applyFont="1" applyBorder="1" applyAlignment="1">
      <alignment horizontal="center"/>
    </xf>
    <xf numFmtId="0" fontId="22" fillId="0" borderId="18" xfId="1" applyFont="1" applyBorder="1" applyAlignment="1">
      <alignment horizontal="center"/>
    </xf>
    <xf numFmtId="0" fontId="22" fillId="0" borderId="35" xfId="1" applyFont="1" applyBorder="1" applyAlignment="1">
      <alignment horizontal="center"/>
    </xf>
    <xf numFmtId="0" fontId="22" fillId="0" borderId="51" xfId="1" applyFont="1" applyBorder="1" applyAlignment="1">
      <alignment horizontal="center"/>
    </xf>
    <xf numFmtId="0" fontId="22" fillId="0" borderId="19" xfId="1" applyFont="1" applyBorder="1" applyAlignment="1">
      <alignment horizontal="center"/>
    </xf>
    <xf numFmtId="0" fontId="21" fillId="0" borderId="35" xfId="1" applyFont="1" applyBorder="1" applyAlignment="1">
      <alignment horizontal="center" vertical="center"/>
    </xf>
    <xf numFmtId="2" fontId="21" fillId="0" borderId="35" xfId="1" applyNumberFormat="1" applyFont="1" applyBorder="1" applyAlignment="1">
      <alignment horizontal="center" vertical="center"/>
    </xf>
    <xf numFmtId="0" fontId="21" fillId="0" borderId="36" xfId="1" applyFont="1" applyBorder="1" applyAlignment="1">
      <alignment horizontal="center" vertical="center"/>
    </xf>
    <xf numFmtId="2" fontId="21" fillId="0" borderId="36" xfId="1" applyNumberFormat="1" applyFont="1" applyBorder="1" applyAlignment="1">
      <alignment horizontal="center" vertical="center"/>
    </xf>
    <xf numFmtId="0" fontId="19" fillId="4" borderId="0" xfId="1" applyFill="1"/>
    <xf numFmtId="4" fontId="19" fillId="0" borderId="18" xfId="1" applyNumberFormat="1" applyBorder="1" applyAlignment="1">
      <alignment horizontal="center" vertical="center"/>
    </xf>
    <xf numFmtId="4" fontId="19" fillId="0" borderId="19" xfId="1" applyNumberFormat="1" applyBorder="1" applyAlignment="1">
      <alignment horizontal="center" vertical="center"/>
    </xf>
    <xf numFmtId="165" fontId="19" fillId="0" borderId="19" xfId="1" applyNumberFormat="1" applyBorder="1" applyAlignment="1">
      <alignment horizontal="center" vertical="center"/>
    </xf>
    <xf numFmtId="4" fontId="19" fillId="0" borderId="20" xfId="1" applyNumberFormat="1" applyBorder="1" applyAlignment="1">
      <alignment horizontal="center" vertical="center"/>
    </xf>
    <xf numFmtId="165" fontId="19" fillId="0" borderId="20" xfId="1" applyNumberFormat="1" applyBorder="1" applyAlignment="1">
      <alignment horizontal="center" vertical="center"/>
    </xf>
    <xf numFmtId="0" fontId="19" fillId="0" borderId="36" xfId="1" applyBorder="1" applyAlignment="1">
      <alignment horizontal="center" vertical="center"/>
    </xf>
    <xf numFmtId="0" fontId="19" fillId="7" borderId="0" xfId="1" applyFill="1" applyAlignment="1">
      <alignment horizontal="center"/>
    </xf>
    <xf numFmtId="0" fontId="19" fillId="7" borderId="5" xfId="1" applyFill="1" applyBorder="1" applyAlignment="1">
      <alignment horizontal="center"/>
    </xf>
    <xf numFmtId="0" fontId="19" fillId="7" borderId="18" xfId="1" applyFill="1" applyBorder="1" applyAlignment="1">
      <alignment horizontal="center"/>
    </xf>
    <xf numFmtId="0" fontId="19" fillId="7" borderId="18" xfId="1" applyFill="1" applyBorder="1" applyAlignment="1">
      <alignment horizontal="left"/>
    </xf>
    <xf numFmtId="1" fontId="19" fillId="7" borderId="15" xfId="1" applyNumberFormat="1" applyFill="1" applyBorder="1" applyAlignment="1">
      <alignment horizontal="center" vertical="center"/>
    </xf>
    <xf numFmtId="0" fontId="19" fillId="7" borderId="18" xfId="1" applyFill="1" applyBorder="1" applyAlignment="1">
      <alignment horizontal="center" vertical="center"/>
    </xf>
    <xf numFmtId="1" fontId="19" fillId="7" borderId="18" xfId="1" applyNumberFormat="1" applyFill="1" applyBorder="1" applyAlignment="1">
      <alignment horizontal="center" vertical="center"/>
    </xf>
    <xf numFmtId="1" fontId="19" fillId="7" borderId="0" xfId="1" applyNumberFormat="1" applyFill="1" applyAlignment="1">
      <alignment horizontal="center" vertical="center"/>
    </xf>
    <xf numFmtId="0" fontId="19" fillId="7" borderId="18" xfId="1" applyFill="1" applyBorder="1"/>
    <xf numFmtId="2" fontId="19" fillId="7" borderId="18" xfId="1" applyNumberFormat="1" applyFill="1" applyBorder="1"/>
    <xf numFmtId="4" fontId="19" fillId="7" borderId="18" xfId="1" applyNumberFormat="1" applyFill="1" applyBorder="1"/>
    <xf numFmtId="164" fontId="19" fillId="7" borderId="18" xfId="1" applyNumberFormat="1" applyFill="1" applyBorder="1"/>
    <xf numFmtId="0" fontId="0" fillId="4" borderId="41" xfId="0" applyFill="1" applyBorder="1"/>
    <xf numFmtId="0" fontId="20" fillId="4" borderId="43" xfId="0" applyFont="1" applyFill="1" applyBorder="1" applyAlignment="1">
      <alignment horizontal="left"/>
    </xf>
    <xf numFmtId="0" fontId="20" fillId="4" borderId="43" xfId="0" applyFont="1" applyFill="1" applyBorder="1"/>
    <xf numFmtId="0" fontId="11" fillId="4" borderId="0" xfId="0" applyFont="1" applyFill="1" applyAlignment="1">
      <alignment horizontal="center"/>
    </xf>
    <xf numFmtId="3" fontId="19" fillId="4" borderId="0" xfId="1" applyNumberFormat="1" applyFill="1"/>
    <xf numFmtId="0" fontId="3" fillId="4" borderId="5" xfId="1" applyFont="1" applyFill="1" applyBorder="1" applyAlignment="1">
      <alignment horizontal="center" vertical="center"/>
    </xf>
    <xf numFmtId="3" fontId="3" fillId="4" borderId="5" xfId="1" applyNumberFormat="1" applyFont="1" applyFill="1" applyBorder="1" applyAlignment="1">
      <alignment horizontal="center" vertical="center"/>
    </xf>
    <xf numFmtId="0" fontId="6" fillId="4" borderId="15" xfId="1" applyFont="1" applyFill="1" applyBorder="1" applyAlignment="1">
      <alignment horizontal="center" vertical="center"/>
    </xf>
    <xf numFmtId="0" fontId="19" fillId="4" borderId="18" xfId="1" applyFill="1" applyBorder="1" applyAlignment="1">
      <alignment horizontal="center" vertical="center"/>
    </xf>
    <xf numFmtId="3" fontId="19" fillId="4" borderId="35" xfId="1" applyNumberFormat="1" applyFill="1" applyBorder="1" applyAlignment="1">
      <alignment horizontal="center" vertical="center"/>
    </xf>
    <xf numFmtId="165" fontId="19" fillId="4" borderId="18" xfId="1" applyNumberFormat="1" applyFill="1" applyBorder="1" applyAlignment="1">
      <alignment horizontal="center" vertical="center"/>
    </xf>
    <xf numFmtId="0" fontId="6" fillId="4" borderId="16" xfId="1" applyFont="1" applyFill="1" applyBorder="1" applyAlignment="1">
      <alignment horizontal="center" vertical="center"/>
    </xf>
    <xf numFmtId="0" fontId="19" fillId="4" borderId="19" xfId="1" applyFill="1" applyBorder="1" applyAlignment="1">
      <alignment horizontal="center" vertical="center"/>
    </xf>
    <xf numFmtId="3" fontId="19" fillId="4" borderId="19" xfId="1" applyNumberFormat="1" applyFill="1" applyBorder="1" applyAlignment="1">
      <alignment horizontal="center" vertical="center"/>
    </xf>
    <xf numFmtId="11" fontId="19" fillId="4" borderId="19" xfId="1" applyNumberFormat="1" applyFill="1" applyBorder="1" applyAlignment="1">
      <alignment horizontal="center" vertical="center"/>
    </xf>
    <xf numFmtId="0" fontId="21" fillId="4" borderId="19" xfId="1" applyFont="1" applyFill="1" applyBorder="1" applyAlignment="1">
      <alignment horizontal="center" vertical="center"/>
    </xf>
    <xf numFmtId="0" fontId="5" fillId="4" borderId="16" xfId="1" applyFont="1" applyFill="1" applyBorder="1" applyAlignment="1">
      <alignment horizontal="center" vertical="center"/>
    </xf>
    <xf numFmtId="0" fontId="5" fillId="4" borderId="17" xfId="1" applyFont="1" applyFill="1" applyBorder="1" applyAlignment="1">
      <alignment horizontal="center" vertical="center"/>
    </xf>
    <xf numFmtId="0" fontId="19" fillId="4" borderId="20" xfId="1" applyFill="1" applyBorder="1" applyAlignment="1">
      <alignment horizontal="center" vertical="center"/>
    </xf>
    <xf numFmtId="3" fontId="19" fillId="4" borderId="20" xfId="1" applyNumberFormat="1" applyFill="1" applyBorder="1" applyAlignment="1">
      <alignment horizontal="center" vertical="center"/>
    </xf>
    <xf numFmtId="0" fontId="4" fillId="4" borderId="28" xfId="1" applyFont="1" applyFill="1" applyBorder="1" applyAlignment="1">
      <alignment horizontal="center" vertical="center"/>
    </xf>
    <xf numFmtId="3" fontId="19" fillId="4" borderId="18" xfId="1" applyNumberFormat="1" applyFill="1" applyBorder="1" applyAlignment="1">
      <alignment horizontal="center" vertical="center"/>
    </xf>
    <xf numFmtId="0" fontId="4" fillId="4" borderId="15" xfId="1" applyFont="1" applyFill="1" applyBorder="1" applyAlignment="1">
      <alignment horizontal="center" vertical="center"/>
    </xf>
    <xf numFmtId="0" fontId="4" fillId="4" borderId="16" xfId="1" applyFont="1" applyFill="1" applyBorder="1" applyAlignment="1">
      <alignment horizontal="center" vertical="center"/>
    </xf>
    <xf numFmtId="0" fontId="4" fillId="4" borderId="17" xfId="1" applyFont="1" applyFill="1" applyBorder="1" applyAlignment="1">
      <alignment horizontal="center" vertical="center"/>
    </xf>
    <xf numFmtId="0" fontId="2" fillId="4" borderId="15" xfId="1" applyFont="1" applyFill="1" applyBorder="1" applyAlignment="1">
      <alignment horizontal="center" vertical="center"/>
    </xf>
    <xf numFmtId="0" fontId="2" fillId="4" borderId="18" xfId="1" applyFont="1" applyFill="1" applyBorder="1" applyAlignment="1">
      <alignment horizontal="center" vertical="center"/>
    </xf>
    <xf numFmtId="0" fontId="19" fillId="4" borderId="35" xfId="1" applyFill="1" applyBorder="1" applyAlignment="1">
      <alignment horizontal="center" vertical="center"/>
    </xf>
    <xf numFmtId="0" fontId="2" fillId="4" borderId="16" xfId="1" applyFont="1" applyFill="1" applyBorder="1" applyAlignment="1">
      <alignment horizontal="center" vertical="center"/>
    </xf>
    <xf numFmtId="0" fontId="2" fillId="4" borderId="19" xfId="1" applyFont="1" applyFill="1" applyBorder="1" applyAlignment="1">
      <alignment horizontal="center" vertical="center"/>
    </xf>
    <xf numFmtId="0" fontId="2" fillId="4" borderId="17" xfId="1" applyFont="1" applyFill="1" applyBorder="1" applyAlignment="1">
      <alignment horizontal="center" vertical="center"/>
    </xf>
    <xf numFmtId="0" fontId="2" fillId="4" borderId="20" xfId="1" applyFont="1" applyFill="1" applyBorder="1" applyAlignment="1">
      <alignment horizontal="center" vertical="center"/>
    </xf>
    <xf numFmtId="0" fontId="2" fillId="4" borderId="38" xfId="1" applyFont="1" applyFill="1" applyBorder="1" applyAlignment="1">
      <alignment horizontal="center" vertical="center"/>
    </xf>
    <xf numFmtId="0" fontId="2" fillId="4" borderId="28" xfId="1" applyFont="1" applyFill="1" applyBorder="1" applyAlignment="1">
      <alignment horizontal="center" vertical="center"/>
    </xf>
    <xf numFmtId="0" fontId="4" fillId="4" borderId="38" xfId="1" applyFont="1" applyFill="1" applyBorder="1" applyAlignment="1">
      <alignment horizontal="center" vertical="center"/>
    </xf>
    <xf numFmtId="0" fontId="5" fillId="4" borderId="38" xfId="1" applyFont="1" applyFill="1" applyBorder="1" applyAlignment="1">
      <alignment horizontal="center" vertical="center"/>
    </xf>
    <xf numFmtId="0" fontId="3" fillId="4" borderId="5" xfId="0" applyFont="1" applyFill="1" applyBorder="1" applyAlignment="1">
      <alignment horizontal="center" vertical="center"/>
    </xf>
    <xf numFmtId="0" fontId="3" fillId="4" borderId="25" xfId="0" applyFont="1" applyFill="1" applyBorder="1" applyAlignment="1">
      <alignment horizontal="left" vertical="center"/>
    </xf>
    <xf numFmtId="0" fontId="0" fillId="4" borderId="27" xfId="0" applyFill="1" applyBorder="1" applyAlignment="1">
      <alignment horizontal="left" vertical="center"/>
    </xf>
    <xf numFmtId="0" fontId="3" fillId="4" borderId="12" xfId="0" applyFont="1" applyFill="1" applyBorder="1" applyAlignment="1">
      <alignment horizontal="center" vertical="center"/>
    </xf>
    <xf numFmtId="0" fontId="3" fillId="4" borderId="5" xfId="0" applyFont="1" applyFill="1" applyBorder="1" applyAlignment="1">
      <alignment horizontal="center" vertical="center" wrapText="1"/>
    </xf>
    <xf numFmtId="4" fontId="3" fillId="4" borderId="5" xfId="0" applyNumberFormat="1" applyFont="1" applyFill="1" applyBorder="1" applyAlignment="1">
      <alignment horizontal="center" vertical="center" wrapText="1"/>
    </xf>
    <xf numFmtId="0" fontId="6" fillId="4" borderId="18" xfId="0" applyFont="1" applyFill="1" applyBorder="1" applyAlignment="1">
      <alignment horizontal="center"/>
    </xf>
    <xf numFmtId="0" fontId="3" fillId="4" borderId="18" xfId="0" applyFont="1" applyFill="1" applyBorder="1"/>
    <xf numFmtId="3" fontId="0" fillId="4" borderId="29" xfId="0" applyNumberFormat="1" applyFill="1" applyBorder="1" applyAlignment="1">
      <alignment horizontal="center"/>
    </xf>
    <xf numFmtId="0" fontId="6" fillId="4" borderId="15" xfId="0" applyFont="1" applyFill="1" applyBorder="1" applyAlignment="1">
      <alignment horizontal="center" vertical="center"/>
    </xf>
    <xf numFmtId="0" fontId="6" fillId="4" borderId="15" xfId="0" applyFont="1" applyFill="1" applyBorder="1" applyAlignment="1">
      <alignment horizontal="center"/>
    </xf>
    <xf numFmtId="0" fontId="9" fillId="4" borderId="51" xfId="0" applyFont="1" applyFill="1" applyBorder="1" applyAlignment="1">
      <alignment horizontal="center"/>
    </xf>
    <xf numFmtId="0" fontId="21" fillId="4" borderId="18" xfId="0" applyFont="1" applyFill="1" applyBorder="1" applyAlignment="1">
      <alignment horizontal="center" vertical="center"/>
    </xf>
    <xf numFmtId="2" fontId="21" fillId="4" borderId="18" xfId="0" applyNumberFormat="1" applyFont="1" applyFill="1" applyBorder="1" applyAlignment="1">
      <alignment horizontal="center" vertical="center"/>
    </xf>
    <xf numFmtId="2" fontId="21" fillId="4" borderId="0" xfId="0" applyNumberFormat="1" applyFont="1" applyFill="1" applyAlignment="1">
      <alignment horizontal="center" vertical="center"/>
    </xf>
    <xf numFmtId="0" fontId="10" fillId="4" borderId="15" xfId="0" applyFont="1" applyFill="1" applyBorder="1" applyAlignment="1">
      <alignment horizontal="center" vertical="center"/>
    </xf>
    <xf numFmtId="0" fontId="3" fillId="4" borderId="19" xfId="0" applyFont="1" applyFill="1" applyBorder="1"/>
    <xf numFmtId="0" fontId="6" fillId="4" borderId="19" xfId="0" applyFont="1" applyFill="1" applyBorder="1" applyAlignment="1">
      <alignment horizontal="center"/>
    </xf>
    <xf numFmtId="3" fontId="0" fillId="4" borderId="30" xfId="0" applyNumberFormat="1" applyFill="1" applyBorder="1" applyAlignment="1">
      <alignment horizontal="center"/>
    </xf>
    <xf numFmtId="0" fontId="6" fillId="4" borderId="16" xfId="0" applyFont="1" applyFill="1" applyBorder="1" applyAlignment="1">
      <alignment horizontal="center" vertical="center"/>
    </xf>
    <xf numFmtId="0" fontId="6" fillId="4" borderId="16" xfId="0" applyFont="1" applyFill="1" applyBorder="1" applyAlignment="1">
      <alignment horizontal="center"/>
    </xf>
    <xf numFmtId="0" fontId="9" fillId="4" borderId="19" xfId="0" applyFont="1" applyFill="1" applyBorder="1" applyAlignment="1">
      <alignment horizontal="center"/>
    </xf>
    <xf numFmtId="0" fontId="21" fillId="4" borderId="19" xfId="0" applyFont="1" applyFill="1" applyBorder="1" applyAlignment="1">
      <alignment horizontal="center" vertical="center"/>
    </xf>
    <xf numFmtId="2" fontId="21" fillId="4" borderId="19" xfId="0" applyNumberFormat="1" applyFont="1" applyFill="1" applyBorder="1" applyAlignment="1">
      <alignment horizontal="center" vertical="center"/>
    </xf>
    <xf numFmtId="0" fontId="10" fillId="4" borderId="16" xfId="0" applyFont="1" applyFill="1" applyBorder="1" applyAlignment="1">
      <alignment horizontal="center" vertical="center"/>
    </xf>
    <xf numFmtId="0" fontId="2" fillId="4" borderId="20" xfId="0" applyFont="1" applyFill="1" applyBorder="1" applyAlignment="1">
      <alignment horizontal="center"/>
    </xf>
    <xf numFmtId="0" fontId="3" fillId="4" borderId="20" xfId="0" applyFont="1" applyFill="1" applyBorder="1"/>
    <xf numFmtId="0" fontId="5" fillId="4" borderId="19" xfId="0" applyFont="1" applyFill="1" applyBorder="1" applyAlignment="1">
      <alignment horizontal="center"/>
    </xf>
    <xf numFmtId="0" fontId="5" fillId="4" borderId="16" xfId="0" applyFont="1" applyFill="1" applyBorder="1" applyAlignment="1">
      <alignment horizontal="center" vertical="center"/>
    </xf>
    <xf numFmtId="0" fontId="5" fillId="4" borderId="16" xfId="0" applyFont="1" applyFill="1" applyBorder="1" applyAlignment="1">
      <alignment horizontal="center"/>
    </xf>
    <xf numFmtId="0" fontId="2" fillId="4" borderId="0" xfId="0" applyFont="1" applyFill="1" applyAlignment="1">
      <alignment horizontal="center"/>
    </xf>
    <xf numFmtId="0" fontId="10" fillId="4" borderId="0" xfId="0" applyFont="1" applyFill="1"/>
    <xf numFmtId="3" fontId="3" fillId="4" borderId="0" xfId="0" applyNumberFormat="1" applyFont="1" applyFill="1" applyAlignment="1">
      <alignment horizontal="center" vertical="center"/>
    </xf>
    <xf numFmtId="0" fontId="6" fillId="4" borderId="0" xfId="0" applyFont="1" applyFill="1"/>
    <xf numFmtId="0" fontId="5" fillId="4" borderId="20" xfId="0" applyFont="1" applyFill="1" applyBorder="1" applyAlignment="1">
      <alignment horizontal="center"/>
    </xf>
    <xf numFmtId="3" fontId="0" fillId="4" borderId="31" xfId="0" applyNumberFormat="1" applyFill="1" applyBorder="1" applyAlignment="1">
      <alignment horizontal="center"/>
    </xf>
    <xf numFmtId="0" fontId="5" fillId="4" borderId="17" xfId="0" applyFont="1" applyFill="1" applyBorder="1" applyAlignment="1">
      <alignment horizontal="center" vertical="center"/>
    </xf>
    <xf numFmtId="0" fontId="5" fillId="4" borderId="17" xfId="0" applyFont="1" applyFill="1" applyBorder="1" applyAlignment="1">
      <alignment horizontal="center"/>
    </xf>
    <xf numFmtId="0" fontId="9" fillId="4" borderId="36" xfId="0" applyFont="1" applyFill="1" applyBorder="1" applyAlignment="1">
      <alignment horizontal="center"/>
    </xf>
    <xf numFmtId="0" fontId="21" fillId="4" borderId="20" xfId="0" applyFont="1" applyFill="1" applyBorder="1" applyAlignment="1">
      <alignment horizontal="center" vertical="center"/>
    </xf>
    <xf numFmtId="2" fontId="21" fillId="4" borderId="20" xfId="0" applyNumberFormat="1" applyFont="1" applyFill="1" applyBorder="1" applyAlignment="1">
      <alignment horizontal="center" vertical="center"/>
    </xf>
    <xf numFmtId="0" fontId="10" fillId="4" borderId="17" xfId="0" applyFont="1" applyFill="1" applyBorder="1" applyAlignment="1">
      <alignment horizontal="center" vertical="center"/>
    </xf>
    <xf numFmtId="0" fontId="5" fillId="4" borderId="0" xfId="0" applyFont="1" applyFill="1"/>
    <xf numFmtId="0" fontId="4" fillId="4" borderId="18" xfId="0" applyFont="1" applyFill="1" applyBorder="1" applyAlignment="1">
      <alignment horizontal="center"/>
    </xf>
    <xf numFmtId="0" fontId="4" fillId="4" borderId="15" xfId="0" applyFont="1" applyFill="1" applyBorder="1" applyAlignment="1">
      <alignment horizontal="center" vertical="center"/>
    </xf>
    <xf numFmtId="0" fontId="4" fillId="4" borderId="28" xfId="0" applyFont="1" applyFill="1" applyBorder="1" applyAlignment="1">
      <alignment horizontal="center"/>
    </xf>
    <xf numFmtId="0" fontId="9" fillId="4" borderId="18" xfId="0" applyFont="1" applyFill="1" applyBorder="1" applyAlignment="1">
      <alignment horizontal="center"/>
    </xf>
    <xf numFmtId="0" fontId="4" fillId="4" borderId="28" xfId="0" applyFont="1" applyFill="1" applyBorder="1" applyAlignment="1">
      <alignment horizontal="center" vertical="center"/>
    </xf>
    <xf numFmtId="0" fontId="10" fillId="4" borderId="28" xfId="0" applyFont="1" applyFill="1" applyBorder="1" applyAlignment="1">
      <alignment horizontal="center" vertical="center"/>
    </xf>
    <xf numFmtId="0" fontId="4" fillId="4" borderId="16" xfId="0" applyFont="1" applyFill="1" applyBorder="1" applyAlignment="1">
      <alignment horizontal="center" vertical="center"/>
    </xf>
    <xf numFmtId="0" fontId="4" fillId="4" borderId="16" xfId="0" applyFont="1" applyFill="1" applyBorder="1" applyAlignment="1">
      <alignment horizontal="center"/>
    </xf>
    <xf numFmtId="0" fontId="4" fillId="4" borderId="0" xfId="0" applyFont="1" applyFill="1"/>
    <xf numFmtId="0" fontId="4" fillId="4" borderId="20" xfId="0" applyFont="1" applyFill="1" applyBorder="1" applyAlignment="1">
      <alignment horizontal="center"/>
    </xf>
    <xf numFmtId="0" fontId="4" fillId="4" borderId="17" xfId="0" applyFont="1" applyFill="1" applyBorder="1" applyAlignment="1">
      <alignment horizontal="center" vertical="center"/>
    </xf>
    <xf numFmtId="0" fontId="4" fillId="4" borderId="17" xfId="0" applyFont="1" applyFill="1" applyBorder="1" applyAlignment="1">
      <alignment horizontal="center"/>
    </xf>
    <xf numFmtId="0" fontId="9" fillId="4" borderId="20" xfId="0" applyFont="1" applyFill="1" applyBorder="1" applyAlignment="1">
      <alignment horizontal="center"/>
    </xf>
    <xf numFmtId="0" fontId="2" fillId="4" borderId="18" xfId="0" applyFont="1" applyFill="1" applyBorder="1" applyAlignment="1">
      <alignment horizontal="center"/>
    </xf>
    <xf numFmtId="0" fontId="2" fillId="4" borderId="18" xfId="0" applyFont="1" applyFill="1" applyBorder="1" applyAlignment="1">
      <alignment horizontal="center" vertical="center"/>
    </xf>
    <xf numFmtId="0" fontId="0" fillId="4" borderId="35" xfId="0" applyFill="1" applyBorder="1" applyAlignment="1">
      <alignment horizontal="center" vertical="center"/>
    </xf>
    <xf numFmtId="0" fontId="9" fillId="4" borderId="35" xfId="0" applyFont="1" applyFill="1" applyBorder="1" applyAlignment="1">
      <alignment horizontal="center"/>
    </xf>
    <xf numFmtId="0" fontId="10" fillId="4" borderId="18" xfId="0" applyFont="1" applyFill="1" applyBorder="1" applyAlignment="1">
      <alignment horizontal="center" vertical="center"/>
    </xf>
    <xf numFmtId="0" fontId="2" fillId="4" borderId="19" xfId="0" applyFont="1" applyFill="1" applyBorder="1" applyAlignment="1">
      <alignment horizontal="center"/>
    </xf>
    <xf numFmtId="0" fontId="2" fillId="4" borderId="19" xfId="0" applyFont="1" applyFill="1" applyBorder="1" applyAlignment="1">
      <alignment horizontal="center" vertical="center"/>
    </xf>
    <xf numFmtId="0" fontId="10" fillId="4" borderId="19" xfId="0" applyFont="1" applyFill="1" applyBorder="1" applyAlignment="1">
      <alignment horizontal="center" vertical="center"/>
    </xf>
    <xf numFmtId="0" fontId="2" fillId="4" borderId="20" xfId="0" applyFont="1" applyFill="1" applyBorder="1" applyAlignment="1">
      <alignment horizontal="center" vertical="center"/>
    </xf>
    <xf numFmtId="0" fontId="10" fillId="4" borderId="20" xfId="0" applyFont="1" applyFill="1" applyBorder="1" applyAlignment="1">
      <alignment horizontal="center" vertical="center"/>
    </xf>
    <xf numFmtId="0" fontId="0" fillId="4" borderId="41" xfId="0" applyFill="1" applyBorder="1" applyAlignment="1">
      <alignment horizontal="center"/>
    </xf>
    <xf numFmtId="0" fontId="3" fillId="5" borderId="24" xfId="1" applyFont="1" applyFill="1" applyBorder="1" applyAlignment="1">
      <alignment horizontal="center"/>
    </xf>
    <xf numFmtId="0" fontId="0" fillId="4" borderId="0" xfId="1" applyFont="1" applyFill="1"/>
    <xf numFmtId="0" fontId="16" fillId="5" borderId="5"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0" fillId="4" borderId="15"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4"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2" xfId="0" applyFill="1" applyBorder="1" applyAlignment="1">
      <alignment horizontal="center" vertical="center" wrapText="1"/>
    </xf>
    <xf numFmtId="1" fontId="0" fillId="4" borderId="18" xfId="1" applyNumberFormat="1" applyFont="1" applyFill="1" applyBorder="1" applyAlignment="1">
      <alignment horizontal="center" vertical="center"/>
    </xf>
    <xf numFmtId="1" fontId="0" fillId="4" borderId="19" xfId="1" applyNumberFormat="1" applyFont="1" applyFill="1" applyBorder="1" applyAlignment="1">
      <alignment horizontal="center" vertical="center"/>
    </xf>
    <xf numFmtId="1" fontId="0" fillId="4" borderId="20" xfId="1" applyNumberFormat="1" applyFont="1" applyFill="1" applyBorder="1" applyAlignment="1">
      <alignment horizontal="center" vertical="center"/>
    </xf>
    <xf numFmtId="0" fontId="0" fillId="7" borderId="0" xfId="1" applyFont="1" applyFill="1"/>
    <xf numFmtId="0" fontId="0" fillId="4" borderId="18" xfId="1" applyFont="1" applyFill="1" applyBorder="1" applyAlignment="1">
      <alignment horizontal="center" vertical="center"/>
    </xf>
    <xf numFmtId="0" fontId="0" fillId="7" borderId="1" xfId="0" applyFill="1" applyBorder="1" applyAlignment="1">
      <alignment horizontal="left" vertical="center"/>
    </xf>
    <xf numFmtId="2" fontId="0" fillId="4" borderId="18" xfId="1" applyNumberFormat="1" applyFont="1" applyFill="1" applyBorder="1" applyAlignment="1">
      <alignment horizontal="center" vertical="center"/>
    </xf>
    <xf numFmtId="0" fontId="0" fillId="4" borderId="19" xfId="1" applyFont="1" applyFill="1" applyBorder="1" applyAlignment="1">
      <alignment horizontal="center" vertical="center"/>
    </xf>
    <xf numFmtId="2" fontId="0" fillId="4" borderId="19" xfId="1" applyNumberFormat="1" applyFont="1" applyFill="1" applyBorder="1" applyAlignment="1">
      <alignment horizontal="center" vertical="center"/>
    </xf>
    <xf numFmtId="0" fontId="0" fillId="4" borderId="20" xfId="1" applyFont="1" applyFill="1" applyBorder="1" applyAlignment="1">
      <alignment horizontal="center" vertical="center"/>
    </xf>
    <xf numFmtId="2" fontId="0" fillId="4" borderId="20" xfId="1" applyNumberFormat="1" applyFont="1" applyFill="1" applyBorder="1" applyAlignment="1">
      <alignment horizontal="center" vertical="center"/>
    </xf>
    <xf numFmtId="11" fontId="0" fillId="4" borderId="0" xfId="1" applyNumberFormat="1" applyFont="1" applyFill="1"/>
    <xf numFmtId="0" fontId="0" fillId="4" borderId="5" xfId="1" applyFont="1" applyFill="1" applyBorder="1" applyAlignment="1">
      <alignment horizontal="center" vertical="center"/>
    </xf>
    <xf numFmtId="0" fontId="3" fillId="5" borderId="5" xfId="1" applyFont="1" applyFill="1" applyBorder="1" applyAlignment="1">
      <alignment horizontal="center" vertical="center" wrapText="1"/>
    </xf>
    <xf numFmtId="0" fontId="3" fillId="5" borderId="24" xfId="1" applyFont="1" applyFill="1" applyBorder="1" applyAlignment="1">
      <alignment horizontal="center" vertical="center"/>
    </xf>
    <xf numFmtId="0" fontId="3" fillId="4" borderId="9" xfId="1" applyFont="1" applyFill="1" applyBorder="1" applyAlignment="1">
      <alignment vertical="center"/>
    </xf>
    <xf numFmtId="0" fontId="3" fillId="4" borderId="9" xfId="0" applyFont="1" applyFill="1" applyBorder="1" applyAlignment="1">
      <alignment vertical="center"/>
    </xf>
    <xf numFmtId="0" fontId="10" fillId="4" borderId="0" xfId="0" applyFont="1" applyFill="1" applyAlignment="1">
      <alignment horizontal="center" vertical="center"/>
    </xf>
    <xf numFmtId="1" fontId="0" fillId="4" borderId="5" xfId="1" applyNumberFormat="1" applyFont="1" applyFill="1" applyBorder="1" applyAlignment="1">
      <alignment horizontal="center" vertical="center"/>
    </xf>
    <xf numFmtId="0" fontId="3" fillId="12" borderId="9" xfId="1" applyFont="1" applyFill="1" applyBorder="1" applyAlignment="1">
      <alignment vertical="center"/>
    </xf>
    <xf numFmtId="0" fontId="0" fillId="12" borderId="0" xfId="1" applyFont="1" applyFill="1"/>
    <xf numFmtId="0" fontId="3" fillId="12" borderId="24" xfId="1" applyFont="1" applyFill="1" applyBorder="1" applyAlignment="1">
      <alignment horizontal="center"/>
    </xf>
    <xf numFmtId="0" fontId="0" fillId="12" borderId="18" xfId="0" applyFill="1" applyBorder="1" applyAlignment="1">
      <alignment horizontal="center" vertical="center"/>
    </xf>
    <xf numFmtId="0" fontId="10" fillId="12" borderId="18" xfId="0" applyFont="1" applyFill="1" applyBorder="1" applyAlignment="1">
      <alignment horizontal="center" vertical="center"/>
    </xf>
    <xf numFmtId="1" fontId="0" fillId="12" borderId="18" xfId="1" applyNumberFormat="1" applyFont="1" applyFill="1" applyBorder="1" applyAlignment="1">
      <alignment horizontal="center" vertical="center"/>
    </xf>
    <xf numFmtId="0" fontId="0" fillId="12" borderId="19" xfId="0" applyFill="1" applyBorder="1" applyAlignment="1">
      <alignment horizontal="center" vertical="center"/>
    </xf>
    <xf numFmtId="0" fontId="10" fillId="12" borderId="19" xfId="0" applyFont="1" applyFill="1" applyBorder="1" applyAlignment="1">
      <alignment horizontal="center" vertical="center"/>
    </xf>
    <xf numFmtId="1" fontId="0" fillId="12" borderId="19" xfId="1" applyNumberFormat="1" applyFont="1" applyFill="1" applyBorder="1" applyAlignment="1">
      <alignment horizontal="center" vertical="center"/>
    </xf>
    <xf numFmtId="0" fontId="0" fillId="12" borderId="20" xfId="0" applyFill="1" applyBorder="1" applyAlignment="1">
      <alignment horizontal="center" vertical="center"/>
    </xf>
    <xf numFmtId="0" fontId="10" fillId="12" borderId="20" xfId="0" applyFont="1" applyFill="1" applyBorder="1" applyAlignment="1">
      <alignment horizontal="center" vertical="center"/>
    </xf>
    <xf numFmtId="1" fontId="0" fillId="12" borderId="20" xfId="1" applyNumberFormat="1" applyFont="1" applyFill="1" applyBorder="1" applyAlignment="1">
      <alignment horizontal="center" vertical="center"/>
    </xf>
    <xf numFmtId="0" fontId="0" fillId="4" borderId="44" xfId="1" applyFont="1" applyFill="1" applyBorder="1"/>
    <xf numFmtId="0" fontId="0" fillId="4" borderId="41" xfId="1" applyFont="1" applyFill="1" applyBorder="1"/>
    <xf numFmtId="2" fontId="0" fillId="4" borderId="5" xfId="1" applyNumberFormat="1" applyFont="1" applyFill="1" applyBorder="1" applyAlignment="1">
      <alignment horizontal="center" vertical="center"/>
    </xf>
    <xf numFmtId="3" fontId="8" fillId="4" borderId="0" xfId="0" applyNumberFormat="1" applyFont="1" applyFill="1" applyAlignment="1">
      <alignment horizontal="center"/>
    </xf>
    <xf numFmtId="0" fontId="10" fillId="4" borderId="56" xfId="0" applyFont="1" applyFill="1" applyBorder="1" applyAlignment="1">
      <alignment horizontal="center" vertical="center"/>
    </xf>
    <xf numFmtId="1" fontId="7" fillId="4" borderId="0" xfId="0" applyNumberFormat="1" applyFont="1" applyFill="1" applyAlignment="1">
      <alignment horizontal="center" vertical="center"/>
    </xf>
    <xf numFmtId="0" fontId="0" fillId="4" borderId="12" xfId="0" applyFill="1" applyBorder="1" applyAlignment="1">
      <alignment horizontal="center" vertical="center"/>
    </xf>
    <xf numFmtId="0" fontId="3" fillId="5" borderId="12" xfId="0" applyFont="1" applyFill="1" applyBorder="1" applyAlignment="1">
      <alignment horizontal="center" vertical="center"/>
    </xf>
    <xf numFmtId="0" fontId="22" fillId="4" borderId="51" xfId="0" applyFont="1" applyFill="1" applyBorder="1" applyAlignment="1">
      <alignment horizontal="center"/>
    </xf>
    <xf numFmtId="0" fontId="22" fillId="4" borderId="19" xfId="0" applyFont="1" applyFill="1" applyBorder="1" applyAlignment="1">
      <alignment horizontal="center"/>
    </xf>
    <xf numFmtId="0" fontId="4" fillId="4" borderId="15" xfId="0" applyFont="1" applyFill="1" applyBorder="1" applyAlignment="1">
      <alignment horizontal="center"/>
    </xf>
    <xf numFmtId="0" fontId="22" fillId="4" borderId="18" xfId="0" applyFont="1" applyFill="1" applyBorder="1" applyAlignment="1">
      <alignment horizontal="center"/>
    </xf>
    <xf numFmtId="0" fontId="21" fillId="4" borderId="35" xfId="0" applyFont="1" applyFill="1" applyBorder="1" applyAlignment="1">
      <alignment horizontal="center" vertical="center"/>
    </xf>
    <xf numFmtId="2" fontId="21" fillId="4" borderId="35" xfId="0" applyNumberFormat="1" applyFont="1" applyFill="1" applyBorder="1" applyAlignment="1">
      <alignment horizontal="center" vertical="center"/>
    </xf>
    <xf numFmtId="0" fontId="22" fillId="4" borderId="35" xfId="0" applyFont="1" applyFill="1" applyBorder="1" applyAlignment="1">
      <alignment horizontal="center"/>
    </xf>
    <xf numFmtId="0" fontId="21" fillId="4" borderId="36" xfId="0" applyFont="1" applyFill="1" applyBorder="1" applyAlignment="1">
      <alignment horizontal="center" vertical="center"/>
    </xf>
    <xf numFmtId="2" fontId="21" fillId="4" borderId="36" xfId="0" applyNumberFormat="1" applyFont="1" applyFill="1" applyBorder="1" applyAlignment="1">
      <alignment horizontal="center" vertical="center"/>
    </xf>
    <xf numFmtId="0" fontId="2" fillId="4" borderId="15" xfId="0" applyFont="1" applyFill="1" applyBorder="1" applyAlignment="1">
      <alignment horizontal="center" vertical="center"/>
    </xf>
    <xf numFmtId="0" fontId="2" fillId="4" borderId="15" xfId="0" applyFont="1" applyFill="1" applyBorder="1" applyAlignment="1">
      <alignment horizontal="center"/>
    </xf>
    <xf numFmtId="0" fontId="2" fillId="4" borderId="16" xfId="0" applyFont="1" applyFill="1" applyBorder="1" applyAlignment="1">
      <alignment horizontal="center" vertical="center"/>
    </xf>
    <xf numFmtId="0" fontId="2" fillId="4" borderId="16" xfId="0" applyFont="1" applyFill="1" applyBorder="1" applyAlignment="1">
      <alignment horizontal="center"/>
    </xf>
    <xf numFmtId="0" fontId="2" fillId="4" borderId="17" xfId="0" applyFont="1" applyFill="1" applyBorder="1" applyAlignment="1">
      <alignment horizontal="center" vertical="center"/>
    </xf>
    <xf numFmtId="0" fontId="2" fillId="4" borderId="17" xfId="0" applyFont="1" applyFill="1" applyBorder="1" applyAlignment="1">
      <alignment horizontal="center"/>
    </xf>
    <xf numFmtId="0" fontId="22" fillId="4" borderId="21" xfId="0" applyFont="1" applyFill="1" applyBorder="1" applyAlignment="1">
      <alignment horizontal="center"/>
    </xf>
    <xf numFmtId="0" fontId="2" fillId="4" borderId="38" xfId="0" applyFont="1" applyFill="1" applyBorder="1" applyAlignment="1">
      <alignment horizontal="center"/>
    </xf>
    <xf numFmtId="0" fontId="0" fillId="4" borderId="36" xfId="0" applyFill="1" applyBorder="1" applyAlignment="1">
      <alignment horizontal="center"/>
    </xf>
    <xf numFmtId="3" fontId="0" fillId="4" borderId="37" xfId="0" applyNumberFormat="1" applyFill="1" applyBorder="1" applyAlignment="1">
      <alignment horizontal="center"/>
    </xf>
    <xf numFmtId="0" fontId="2" fillId="4" borderId="38" xfId="0" applyFont="1" applyFill="1" applyBorder="1" applyAlignment="1">
      <alignment horizontal="center" vertical="center"/>
    </xf>
    <xf numFmtId="0" fontId="10" fillId="4" borderId="38" xfId="0" applyFont="1" applyFill="1" applyBorder="1" applyAlignment="1">
      <alignment horizontal="center" vertical="center"/>
    </xf>
    <xf numFmtId="3" fontId="0" fillId="4" borderId="19" xfId="0" applyNumberFormat="1" applyFill="1" applyBorder="1" applyAlignment="1">
      <alignment horizontal="center"/>
    </xf>
    <xf numFmtId="3" fontId="0" fillId="4" borderId="20" xfId="0" applyNumberFormat="1" applyFill="1" applyBorder="1" applyAlignment="1">
      <alignment horizontal="center"/>
    </xf>
    <xf numFmtId="0" fontId="0" fillId="4" borderId="35" xfId="0" applyFill="1" applyBorder="1" applyAlignment="1">
      <alignment horizontal="center"/>
    </xf>
    <xf numFmtId="0" fontId="2" fillId="4" borderId="28"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38" xfId="0" applyFont="1" applyFill="1" applyBorder="1" applyAlignment="1">
      <alignment horizontal="center"/>
    </xf>
    <xf numFmtId="3" fontId="0" fillId="4" borderId="18" xfId="0" applyNumberFormat="1" applyFill="1" applyBorder="1" applyAlignment="1">
      <alignment horizontal="center"/>
    </xf>
    <xf numFmtId="3" fontId="0" fillId="4" borderId="35" xfId="0" applyNumberFormat="1" applyFill="1" applyBorder="1" applyAlignment="1">
      <alignment horizontal="center"/>
    </xf>
    <xf numFmtId="0" fontId="5" fillId="4" borderId="38" xfId="0" applyFont="1" applyFill="1" applyBorder="1" applyAlignment="1">
      <alignment horizontal="center"/>
    </xf>
    <xf numFmtId="3" fontId="0" fillId="4" borderId="36" xfId="0" applyNumberFormat="1" applyFill="1" applyBorder="1" applyAlignment="1">
      <alignment horizontal="center"/>
    </xf>
    <xf numFmtId="0" fontId="5" fillId="4" borderId="38" xfId="0" applyFont="1" applyFill="1" applyBorder="1" applyAlignment="1">
      <alignment horizontal="center" vertical="center"/>
    </xf>
    <xf numFmtId="3" fontId="0" fillId="4" borderId="24" xfId="0" applyNumberFormat="1" applyFill="1" applyBorder="1" applyAlignment="1">
      <alignment horizontal="center"/>
    </xf>
    <xf numFmtId="0" fontId="0" fillId="4" borderId="24" xfId="0" applyFill="1" applyBorder="1" applyAlignment="1">
      <alignment horizontal="center"/>
    </xf>
    <xf numFmtId="0" fontId="3" fillId="7" borderId="24" xfId="0" applyFont="1" applyFill="1" applyBorder="1" applyAlignment="1">
      <alignment horizontal="center"/>
    </xf>
    <xf numFmtId="0" fontId="3" fillId="7" borderId="36" xfId="0" applyFont="1" applyFill="1" applyBorder="1" applyAlignment="1">
      <alignment horizontal="center"/>
    </xf>
    <xf numFmtId="0" fontId="3" fillId="7" borderId="20" xfId="0" applyFont="1" applyFill="1" applyBorder="1" applyAlignment="1">
      <alignment horizontal="center"/>
    </xf>
    <xf numFmtId="4" fontId="3" fillId="0" borderId="5" xfId="1" applyNumberFormat="1" applyFont="1" applyBorder="1" applyAlignment="1">
      <alignment horizontal="center" vertical="center" wrapText="1"/>
    </xf>
    <xf numFmtId="0" fontId="0" fillId="4" borderId="0" xfId="0" applyFill="1" applyAlignment="1">
      <alignment horizontal="left" vertical="center" wrapText="1"/>
    </xf>
    <xf numFmtId="0" fontId="0" fillId="4" borderId="43" xfId="0" applyFill="1" applyBorder="1" applyAlignment="1">
      <alignment horizontal="left" wrapText="1"/>
    </xf>
    <xf numFmtId="0" fontId="0" fillId="4" borderId="44" xfId="0" applyFill="1" applyBorder="1" applyAlignment="1">
      <alignment horizontal="left" wrapText="1"/>
    </xf>
    <xf numFmtId="0" fontId="0" fillId="4" borderId="0" xfId="0" applyFill="1" applyAlignment="1">
      <alignment horizontal="center" wrapText="1"/>
    </xf>
    <xf numFmtId="0" fontId="3" fillId="4" borderId="63"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67" xfId="0" applyFont="1" applyFill="1" applyBorder="1" applyAlignment="1">
      <alignment horizontal="center" vertical="center"/>
    </xf>
    <xf numFmtId="0" fontId="3" fillId="4" borderId="0" xfId="0" applyFont="1" applyFill="1" applyAlignment="1">
      <alignment horizontal="left" vertical="top" wrapText="1"/>
    </xf>
    <xf numFmtId="0" fontId="3" fillId="4" borderId="0" xfId="0" applyFont="1" applyFill="1" applyAlignment="1">
      <alignment wrapText="1"/>
    </xf>
    <xf numFmtId="0" fontId="3" fillId="4" borderId="63" xfId="0" applyFont="1" applyFill="1" applyBorder="1" applyAlignment="1">
      <alignment horizontal="center" wrapText="1"/>
    </xf>
    <xf numFmtId="0" fontId="0" fillId="4" borderId="65" xfId="0" applyFill="1" applyBorder="1" applyAlignment="1">
      <alignment horizontal="center"/>
    </xf>
    <xf numFmtId="0" fontId="0" fillId="4" borderId="67" xfId="0" applyFill="1" applyBorder="1" applyAlignment="1">
      <alignment horizontal="center"/>
    </xf>
    <xf numFmtId="0" fontId="0" fillId="4" borderId="71" xfId="0" applyFill="1" applyBorder="1" applyAlignment="1">
      <alignment horizontal="center"/>
    </xf>
    <xf numFmtId="0" fontId="25" fillId="4" borderId="0" xfId="0" applyFont="1" applyFill="1" applyAlignment="1">
      <alignment horizontal="left" wrapText="1"/>
    </xf>
    <xf numFmtId="0" fontId="3" fillId="4" borderId="71" xfId="0" applyFont="1" applyFill="1" applyBorder="1" applyAlignment="1">
      <alignment horizontal="center" vertical="center"/>
    </xf>
    <xf numFmtId="0" fontId="9" fillId="4" borderId="0" xfId="0" applyFont="1" applyFill="1" applyAlignment="1">
      <alignment horizontal="left" wrapText="1"/>
    </xf>
    <xf numFmtId="0" fontId="0" fillId="4" borderId="75" xfId="0" applyFill="1" applyBorder="1" applyAlignment="1">
      <alignment vertical="center"/>
    </xf>
    <xf numFmtId="0" fontId="0" fillId="4" borderId="43" xfId="0" applyFill="1" applyBorder="1" applyAlignment="1">
      <alignment horizontal="left" vertical="top" wrapText="1"/>
    </xf>
    <xf numFmtId="0" fontId="0" fillId="4" borderId="44" xfId="0" applyFill="1" applyBorder="1" applyAlignment="1">
      <alignment horizontal="left" vertical="top" wrapText="1"/>
    </xf>
    <xf numFmtId="0" fontId="3" fillId="4" borderId="45" xfId="0" applyFont="1" applyFill="1" applyBorder="1"/>
    <xf numFmtId="0" fontId="0" fillId="4" borderId="68" xfId="0" applyFill="1" applyBorder="1" applyAlignment="1">
      <alignment horizontal="center" vertical="center"/>
    </xf>
    <xf numFmtId="0" fontId="0" fillId="4" borderId="69" xfId="0" applyFill="1" applyBorder="1" applyAlignment="1">
      <alignment horizontal="center" vertical="center"/>
    </xf>
    <xf numFmtId="0" fontId="0" fillId="4" borderId="70" xfId="0" applyFill="1" applyBorder="1" applyAlignment="1">
      <alignment horizontal="center" vertical="center"/>
    </xf>
    <xf numFmtId="0" fontId="0" fillId="4" borderId="0" xfId="0" applyFill="1" applyAlignment="1">
      <alignment horizontal="center" vertical="top" wrapText="1"/>
    </xf>
    <xf numFmtId="0" fontId="3" fillId="4" borderId="44" xfId="0" applyFont="1" applyFill="1" applyBorder="1"/>
    <xf numFmtId="0" fontId="3" fillId="4" borderId="43" xfId="0" applyFont="1" applyFill="1" applyBorder="1"/>
    <xf numFmtId="0" fontId="24" fillId="4" borderId="0" xfId="0" applyFont="1" applyFill="1" applyAlignment="1">
      <alignment horizontal="left" wrapText="1"/>
    </xf>
    <xf numFmtId="0" fontId="0" fillId="10" borderId="3" xfId="0" applyFill="1" applyBorder="1"/>
    <xf numFmtId="0" fontId="0" fillId="10" borderId="2" xfId="0" applyFill="1" applyBorder="1"/>
    <xf numFmtId="0" fontId="0" fillId="11" borderId="3" xfId="0" applyFill="1" applyBorder="1"/>
    <xf numFmtId="0" fontId="0" fillId="11" borderId="2" xfId="0" applyFill="1" applyBorder="1"/>
    <xf numFmtId="0" fontId="3" fillId="5" borderId="5" xfId="0" applyFont="1" applyFill="1" applyBorder="1" applyAlignment="1">
      <alignment horizontal="center" vertical="center" wrapText="1"/>
    </xf>
    <xf numFmtId="0" fontId="20" fillId="4" borderId="0" xfId="0" applyFont="1" applyFill="1" applyAlignment="1">
      <alignment horizontal="center"/>
    </xf>
    <xf numFmtId="0" fontId="0" fillId="4" borderId="0" xfId="0" applyFill="1" applyAlignment="1">
      <alignment horizontal="left" vertical="top"/>
    </xf>
    <xf numFmtId="0" fontId="12" fillId="4" borderId="0" xfId="0" applyFont="1" applyFill="1"/>
    <xf numFmtId="0" fontId="13" fillId="4" borderId="0" xfId="0" applyFont="1" applyFill="1"/>
    <xf numFmtId="0" fontId="0" fillId="4" borderId="0" xfId="0" applyFill="1" applyAlignment="1">
      <alignment horizontal="center" vertical="top"/>
    </xf>
    <xf numFmtId="0" fontId="0" fillId="4" borderId="0" xfId="0" applyFill="1" applyAlignment="1">
      <alignment vertical="top" wrapText="1"/>
    </xf>
    <xf numFmtId="0" fontId="0" fillId="4" borderId="0" xfId="0" applyFill="1" applyAlignment="1">
      <alignment horizontal="left" vertical="center"/>
    </xf>
    <xf numFmtId="0" fontId="14" fillId="4" borderId="0" xfId="0" applyFont="1" applyFill="1" applyAlignment="1">
      <alignment vertical="top" wrapText="1"/>
    </xf>
    <xf numFmtId="0" fontId="15" fillId="4" borderId="0" xfId="0" applyFont="1" applyFill="1"/>
    <xf numFmtId="0" fontId="10" fillId="4" borderId="0" xfId="0" applyFont="1" applyFill="1" applyAlignment="1">
      <alignment horizontal="left" vertical="top" wrapText="1"/>
    </xf>
    <xf numFmtId="0" fontId="3" fillId="5" borderId="24" xfId="1" applyFont="1" applyFill="1" applyBorder="1" applyAlignment="1">
      <alignment horizontal="center" vertical="center"/>
    </xf>
    <xf numFmtId="0" fontId="0" fillId="4" borderId="69" xfId="0" applyFill="1" applyBorder="1" applyAlignment="1">
      <alignment horizontal="center" vertical="center"/>
    </xf>
    <xf numFmtId="0" fontId="0" fillId="4" borderId="19" xfId="0" applyFill="1" applyBorder="1" applyAlignment="1">
      <alignment horizontal="center" vertical="center"/>
    </xf>
    <xf numFmtId="0" fontId="0" fillId="4" borderId="70" xfId="0" applyFill="1" applyBorder="1" applyAlignment="1">
      <alignment horizontal="center" vertical="center"/>
    </xf>
    <xf numFmtId="0" fontId="0" fillId="4" borderId="20" xfId="0" applyFill="1" applyBorder="1" applyAlignment="1">
      <alignment horizontal="center" vertical="center"/>
    </xf>
    <xf numFmtId="0" fontId="0" fillId="4" borderId="74"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xf>
    <xf numFmtId="0" fontId="0" fillId="4" borderId="20" xfId="0" applyFill="1" applyBorder="1" applyAlignment="1">
      <alignment horizontal="center"/>
    </xf>
    <xf numFmtId="0" fontId="0" fillId="4" borderId="35" xfId="0" applyFill="1" applyBorder="1" applyAlignment="1">
      <alignment horizontal="center"/>
    </xf>
    <xf numFmtId="0" fontId="0" fillId="4" borderId="18" xfId="0" applyFill="1" applyBorder="1" applyAlignment="1">
      <alignment horizontal="center"/>
    </xf>
    <xf numFmtId="0" fontId="0" fillId="4" borderId="0" xfId="0" applyFill="1" applyBorder="1"/>
    <xf numFmtId="0" fontId="0" fillId="4" borderId="40" xfId="0" applyFill="1" applyBorder="1" applyAlignment="1">
      <alignment horizontal="center" vertical="center"/>
    </xf>
    <xf numFmtId="0" fontId="0" fillId="4" borderId="41" xfId="0" applyFill="1" applyBorder="1" applyAlignment="1">
      <alignment horizontal="center" vertical="center"/>
    </xf>
    <xf numFmtId="0" fontId="0" fillId="4" borderId="42" xfId="1" applyFont="1" applyFill="1" applyBorder="1"/>
    <xf numFmtId="0" fontId="3" fillId="4" borderId="59" xfId="0" applyFont="1" applyFill="1" applyBorder="1" applyAlignment="1">
      <alignment vertical="center"/>
    </xf>
    <xf numFmtId="0" fontId="0" fillId="4" borderId="0" xfId="1" applyFont="1" applyFill="1" applyBorder="1"/>
    <xf numFmtId="0" fontId="3" fillId="5" borderId="80" xfId="0" applyFont="1" applyFill="1" applyBorder="1" applyAlignment="1">
      <alignment horizontal="center" vertical="center" wrapText="1"/>
    </xf>
    <xf numFmtId="0" fontId="10" fillId="4" borderId="81" xfId="0" applyFont="1" applyFill="1" applyBorder="1" applyAlignment="1">
      <alignment horizontal="center" vertical="center"/>
    </xf>
    <xf numFmtId="0" fontId="10" fillId="4" borderId="82" xfId="0" applyFont="1" applyFill="1" applyBorder="1" applyAlignment="1">
      <alignment horizontal="center" vertical="center"/>
    </xf>
    <xf numFmtId="0" fontId="10" fillId="4" borderId="83" xfId="0" applyFont="1" applyFill="1" applyBorder="1" applyAlignment="1">
      <alignment horizontal="center" vertical="center"/>
    </xf>
    <xf numFmtId="0" fontId="0" fillId="4" borderId="43" xfId="1" applyFont="1" applyFill="1" applyBorder="1"/>
    <xf numFmtId="0" fontId="3" fillId="4" borderId="59" xfId="1" applyFont="1" applyFill="1" applyBorder="1" applyAlignment="1">
      <alignment vertical="center"/>
    </xf>
    <xf numFmtId="0" fontId="3" fillId="4" borderId="0" xfId="1" applyFont="1" applyFill="1" applyBorder="1"/>
    <xf numFmtId="0" fontId="20" fillId="4" borderId="48" xfId="0" applyFont="1" applyFill="1" applyBorder="1"/>
    <xf numFmtId="0" fontId="3" fillId="9" borderId="52" xfId="0" applyFont="1" applyFill="1" applyBorder="1" applyAlignment="1">
      <alignment horizontal="center"/>
    </xf>
    <xf numFmtId="0" fontId="3" fillId="9" borderId="53" xfId="0" applyFont="1" applyFill="1" applyBorder="1" applyAlignment="1">
      <alignment horizontal="center"/>
    </xf>
    <xf numFmtId="0" fontId="3" fillId="9" borderId="54" xfId="0" applyFont="1" applyFill="1" applyBorder="1" applyAlignment="1">
      <alignment horizontal="center"/>
    </xf>
    <xf numFmtId="0" fontId="0" fillId="0" borderId="0" xfId="0" applyAlignment="1">
      <alignment horizontal="left" vertical="top" wrapText="1"/>
    </xf>
    <xf numFmtId="0" fontId="0" fillId="0" borderId="0" xfId="0" applyAlignment="1">
      <alignment horizontal="left" vertical="top"/>
    </xf>
    <xf numFmtId="0" fontId="10"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horizontal="left" vertical="center" wrapText="1"/>
    </xf>
    <xf numFmtId="0" fontId="0" fillId="4" borderId="0" xfId="0" applyFill="1" applyAlignment="1">
      <alignment horizontal="left" vertical="top"/>
    </xf>
    <xf numFmtId="0" fontId="0" fillId="4" borderId="49" xfId="0" applyFill="1" applyBorder="1" applyAlignment="1">
      <alignment horizontal="left" vertical="top"/>
    </xf>
    <xf numFmtId="0" fontId="10" fillId="8" borderId="0" xfId="0" applyFont="1" applyFill="1" applyAlignment="1">
      <alignment horizontal="left" vertical="center" wrapText="1"/>
    </xf>
    <xf numFmtId="0" fontId="0" fillId="4" borderId="44" xfId="0" applyFill="1" applyBorder="1" applyAlignment="1">
      <alignment horizontal="left" vertical="center" wrapText="1"/>
    </xf>
    <xf numFmtId="0" fontId="10" fillId="4" borderId="0" xfId="0" applyFont="1" applyFill="1" applyAlignment="1">
      <alignment horizontal="left" vertical="center" wrapText="1"/>
    </xf>
    <xf numFmtId="0" fontId="0" fillId="4" borderId="0" xfId="0" applyFill="1" applyAlignment="1">
      <alignment horizontal="left"/>
    </xf>
    <xf numFmtId="0" fontId="3" fillId="9" borderId="40" xfId="0" applyFont="1" applyFill="1" applyBorder="1" applyAlignment="1">
      <alignment horizontal="center" vertical="center"/>
    </xf>
    <xf numFmtId="0" fontId="3" fillId="9" borderId="41" xfId="0" applyFont="1" applyFill="1" applyBorder="1" applyAlignment="1">
      <alignment horizontal="center" vertical="center"/>
    </xf>
    <xf numFmtId="0" fontId="3" fillId="9" borderId="42" xfId="0" applyFont="1" applyFill="1" applyBorder="1" applyAlignment="1">
      <alignment horizontal="center" vertical="center"/>
    </xf>
    <xf numFmtId="0" fontId="3" fillId="9" borderId="48" xfId="0" applyFont="1" applyFill="1" applyBorder="1" applyAlignment="1">
      <alignment horizontal="center" vertical="center"/>
    </xf>
    <xf numFmtId="0" fontId="3" fillId="9" borderId="49" xfId="0" applyFont="1" applyFill="1" applyBorder="1" applyAlignment="1">
      <alignment horizontal="center" vertical="center"/>
    </xf>
    <xf numFmtId="0" fontId="3" fillId="9" borderId="50" xfId="0" applyFont="1" applyFill="1" applyBorder="1" applyAlignment="1">
      <alignment horizontal="center" vertical="center"/>
    </xf>
    <xf numFmtId="0" fontId="3" fillId="4" borderId="43" xfId="0" applyFont="1" applyFill="1" applyBorder="1" applyAlignment="1">
      <alignment horizontal="center"/>
    </xf>
    <xf numFmtId="0" fontId="3" fillId="4" borderId="0" xfId="0" applyFont="1" applyFill="1" applyAlignment="1">
      <alignment horizontal="center"/>
    </xf>
    <xf numFmtId="0" fontId="3" fillId="4" borderId="10" xfId="0" applyFont="1" applyFill="1" applyBorder="1" applyAlignment="1">
      <alignment horizontal="center"/>
    </xf>
    <xf numFmtId="0" fontId="3" fillId="4" borderId="11" xfId="0" applyFont="1" applyFill="1" applyBorder="1" applyAlignment="1">
      <alignment horizontal="center"/>
    </xf>
    <xf numFmtId="0" fontId="3" fillId="4" borderId="12" xfId="0" applyFont="1" applyFill="1" applyBorder="1" applyAlignment="1">
      <alignment horizontal="center"/>
    </xf>
    <xf numFmtId="0" fontId="0" fillId="4" borderId="24" xfId="0" applyFill="1" applyBorder="1" applyAlignment="1">
      <alignment horizontal="center" vertical="center"/>
    </xf>
    <xf numFmtId="0" fontId="0" fillId="4" borderId="21" xfId="0" applyFill="1" applyBorder="1" applyAlignment="1">
      <alignment horizontal="center" vertical="center"/>
    </xf>
    <xf numFmtId="0" fontId="3" fillId="4" borderId="43" xfId="0" applyFont="1" applyFill="1" applyBorder="1" applyAlignment="1">
      <alignment horizontal="center" vertical="center"/>
    </xf>
    <xf numFmtId="0" fontId="3" fillId="4" borderId="0" xfId="0" applyFont="1" applyFill="1" applyAlignment="1">
      <alignment horizontal="center" vertical="center"/>
    </xf>
    <xf numFmtId="0" fontId="3" fillId="4" borderId="9" xfId="0" applyFont="1" applyFill="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1" fontId="7" fillId="0" borderId="51" xfId="0" applyNumberFormat="1" applyFont="1" applyBorder="1" applyAlignment="1">
      <alignment horizontal="center"/>
    </xf>
    <xf numFmtId="1" fontId="7" fillId="0" borderId="7" xfId="0" applyNumberFormat="1" applyFont="1" applyBorder="1" applyAlignment="1">
      <alignment horizontal="center"/>
    </xf>
    <xf numFmtId="0" fontId="3" fillId="12" borderId="5" xfId="1" applyFont="1" applyFill="1" applyBorder="1" applyAlignment="1">
      <alignment horizontal="center" wrapText="1"/>
    </xf>
    <xf numFmtId="0" fontId="3" fillId="12" borderId="24" xfId="1" applyFont="1" applyFill="1" applyBorder="1" applyAlignment="1">
      <alignment horizontal="center" wrapText="1"/>
    </xf>
    <xf numFmtId="0" fontId="3" fillId="12" borderId="5" xfId="1" applyFont="1" applyFill="1" applyBorder="1" applyAlignment="1">
      <alignment horizontal="center"/>
    </xf>
    <xf numFmtId="0" fontId="3" fillId="12" borderId="5" xfId="1" applyFont="1" applyFill="1" applyBorder="1" applyAlignment="1">
      <alignment horizontal="center" vertical="center"/>
    </xf>
    <xf numFmtId="0" fontId="3" fillId="12" borderId="24" xfId="1" applyFont="1" applyFill="1" applyBorder="1" applyAlignment="1">
      <alignment horizontal="center" vertical="center"/>
    </xf>
    <xf numFmtId="0" fontId="3" fillId="5" borderId="45" xfId="1" applyFont="1" applyFill="1" applyBorder="1" applyAlignment="1">
      <alignment horizontal="center" vertical="center"/>
    </xf>
    <xf numFmtId="0" fontId="3" fillId="5" borderId="47" xfId="1" applyFont="1" applyFill="1" applyBorder="1" applyAlignment="1">
      <alignment horizontal="center" vertical="center"/>
    </xf>
    <xf numFmtId="0" fontId="3" fillId="5" borderId="5" xfId="1" applyFont="1" applyFill="1" applyBorder="1" applyAlignment="1">
      <alignment horizontal="center" vertical="center"/>
    </xf>
    <xf numFmtId="0" fontId="3" fillId="5" borderId="24" xfId="1" applyFont="1" applyFill="1" applyBorder="1" applyAlignment="1">
      <alignment horizontal="center" vertical="center"/>
    </xf>
    <xf numFmtId="0" fontId="3" fillId="5" borderId="5" xfId="1" applyFont="1" applyFill="1" applyBorder="1" applyAlignment="1">
      <alignment horizontal="center" wrapText="1"/>
    </xf>
    <xf numFmtId="0" fontId="3" fillId="5" borderId="24" xfId="1" applyFont="1" applyFill="1" applyBorder="1" applyAlignment="1">
      <alignment horizontal="center" wrapText="1"/>
    </xf>
    <xf numFmtId="0" fontId="3" fillId="5" borderId="5" xfId="1" applyFont="1" applyFill="1" applyBorder="1" applyAlignment="1">
      <alignment horizontal="center"/>
    </xf>
    <xf numFmtId="0" fontId="3" fillId="5" borderId="5" xfId="1" applyFont="1" applyFill="1" applyBorder="1" applyAlignment="1">
      <alignment horizontal="center" vertical="center" wrapText="1"/>
    </xf>
    <xf numFmtId="0" fontId="0" fillId="4" borderId="43" xfId="0" applyFill="1" applyBorder="1" applyAlignment="1">
      <alignment horizontal="left" wrapText="1"/>
    </xf>
    <xf numFmtId="0" fontId="0" fillId="4" borderId="0" xfId="0" applyFill="1" applyAlignment="1">
      <alignment horizontal="left" wrapText="1"/>
    </xf>
    <xf numFmtId="0" fontId="0" fillId="4" borderId="44" xfId="0" applyFill="1" applyBorder="1" applyAlignment="1">
      <alignment horizontal="left" wrapText="1"/>
    </xf>
    <xf numFmtId="0" fontId="20" fillId="4" borderId="43" xfId="0" applyFont="1" applyFill="1" applyBorder="1" applyAlignment="1">
      <alignment horizontal="left" wrapText="1"/>
    </xf>
    <xf numFmtId="0" fontId="24" fillId="4" borderId="0" xfId="0" applyFont="1" applyFill="1" applyAlignment="1">
      <alignment horizontal="left" wrapText="1"/>
    </xf>
    <xf numFmtId="0" fontId="24" fillId="4" borderId="44" xfId="0" applyFont="1" applyFill="1" applyBorder="1" applyAlignment="1">
      <alignment horizontal="left" wrapText="1"/>
    </xf>
    <xf numFmtId="0" fontId="24" fillId="4" borderId="48" xfId="0" applyFont="1" applyFill="1" applyBorder="1" applyAlignment="1">
      <alignment horizontal="left" wrapText="1"/>
    </xf>
    <xf numFmtId="0" fontId="24" fillId="4" borderId="49" xfId="0" applyFont="1" applyFill="1" applyBorder="1" applyAlignment="1">
      <alignment horizontal="left" wrapText="1"/>
    </xf>
    <xf numFmtId="0" fontId="24" fillId="4" borderId="50" xfId="0" applyFont="1" applyFill="1" applyBorder="1" applyAlignment="1">
      <alignment horizontal="left" wrapText="1"/>
    </xf>
    <xf numFmtId="0" fontId="0" fillId="4" borderId="40" xfId="0" applyFill="1" applyBorder="1" applyAlignment="1">
      <alignment horizontal="left" vertical="center" wrapText="1"/>
    </xf>
    <xf numFmtId="0" fontId="0" fillId="4" borderId="41" xfId="0" applyFill="1" applyBorder="1" applyAlignment="1">
      <alignment horizontal="left" vertical="center" wrapText="1"/>
    </xf>
    <xf numFmtId="0" fontId="0" fillId="4" borderId="42" xfId="0" applyFill="1" applyBorder="1" applyAlignment="1">
      <alignment horizontal="left" vertical="center" wrapText="1"/>
    </xf>
    <xf numFmtId="0" fontId="0" fillId="4" borderId="43" xfId="0" applyFill="1" applyBorder="1" applyAlignment="1">
      <alignment horizontal="left" vertical="center" wrapText="1"/>
    </xf>
    <xf numFmtId="0" fontId="0" fillId="4" borderId="70" xfId="0" applyFill="1" applyBorder="1" applyAlignment="1">
      <alignment horizontal="center"/>
    </xf>
    <xf numFmtId="0" fontId="0" fillId="4" borderId="20" xfId="0" applyFill="1" applyBorder="1" applyAlignment="1">
      <alignment horizontal="center"/>
    </xf>
    <xf numFmtId="0" fontId="0" fillId="4" borderId="17" xfId="0" applyFill="1" applyBorder="1" applyAlignment="1">
      <alignment horizontal="center"/>
    </xf>
    <xf numFmtId="0" fontId="0" fillId="4" borderId="22" xfId="0" applyFill="1" applyBorder="1" applyAlignment="1">
      <alignment horizontal="center"/>
    </xf>
    <xf numFmtId="0" fontId="0" fillId="4" borderId="78" xfId="0" applyFill="1" applyBorder="1" applyAlignment="1">
      <alignment horizontal="center"/>
    </xf>
    <xf numFmtId="0" fontId="0" fillId="4" borderId="43" xfId="0" applyFill="1" applyBorder="1" applyAlignment="1">
      <alignment horizontal="center"/>
    </xf>
    <xf numFmtId="0" fontId="0" fillId="4" borderId="0" xfId="0" applyFill="1" applyAlignment="1">
      <alignment horizontal="center"/>
    </xf>
    <xf numFmtId="0" fontId="0" fillId="4" borderId="44" xfId="0" applyFill="1" applyBorder="1" applyAlignment="1">
      <alignment horizontal="center"/>
    </xf>
    <xf numFmtId="0" fontId="0" fillId="4" borderId="43" xfId="0" applyFill="1" applyBorder="1" applyAlignment="1">
      <alignment horizontal="left" vertical="top" wrapText="1"/>
    </xf>
    <xf numFmtId="0" fontId="0" fillId="4" borderId="44" xfId="0" applyFill="1" applyBorder="1" applyAlignment="1">
      <alignment horizontal="left" vertical="top" wrapText="1"/>
    </xf>
    <xf numFmtId="0" fontId="3" fillId="4" borderId="47" xfId="0" applyFont="1" applyFill="1" applyBorder="1" applyAlignment="1">
      <alignment horizontal="center" wrapText="1"/>
    </xf>
    <xf numFmtId="0" fontId="3" fillId="4" borderId="24" xfId="0" applyFont="1" applyFill="1" applyBorder="1" applyAlignment="1">
      <alignment horizontal="center" wrapText="1"/>
    </xf>
    <xf numFmtId="0" fontId="3" fillId="4" borderId="79" xfId="0" applyFont="1" applyFill="1" applyBorder="1" applyAlignment="1">
      <alignment horizontal="center" wrapText="1"/>
    </xf>
    <xf numFmtId="0" fontId="3" fillId="4" borderId="34" xfId="0" applyFont="1" applyFill="1" applyBorder="1" applyAlignment="1">
      <alignment horizontal="center" wrapText="1"/>
    </xf>
    <xf numFmtId="0" fontId="3" fillId="4" borderId="46" xfId="0" applyFont="1" applyFill="1" applyBorder="1" applyAlignment="1">
      <alignment horizontal="center" wrapText="1"/>
    </xf>
    <xf numFmtId="0" fontId="3" fillId="4" borderId="21" xfId="0" applyFont="1" applyFill="1" applyBorder="1" applyAlignment="1">
      <alignment horizontal="center" wrapText="1"/>
    </xf>
    <xf numFmtId="0" fontId="3" fillId="4" borderId="51"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57"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60" xfId="0" applyFont="1" applyFill="1" applyBorder="1" applyAlignment="1">
      <alignment horizontal="center" vertical="center"/>
    </xf>
    <xf numFmtId="0" fontId="0" fillId="4" borderId="74" xfId="0" applyFill="1" applyBorder="1" applyAlignment="1">
      <alignment horizontal="center"/>
    </xf>
    <xf numFmtId="0" fontId="0" fillId="4" borderId="18" xfId="0" applyFill="1" applyBorder="1" applyAlignment="1">
      <alignment horizontal="center"/>
    </xf>
    <xf numFmtId="0" fontId="0" fillId="4" borderId="15" xfId="0" applyFill="1" applyBorder="1" applyAlignment="1">
      <alignment horizontal="center"/>
    </xf>
    <xf numFmtId="0" fontId="0" fillId="4" borderId="23" xfId="0" applyFill="1" applyBorder="1" applyAlignment="1">
      <alignment horizontal="center"/>
    </xf>
    <xf numFmtId="0" fontId="0" fillId="4" borderId="76" xfId="0" applyFill="1" applyBorder="1" applyAlignment="1">
      <alignment horizontal="center"/>
    </xf>
    <xf numFmtId="0" fontId="0" fillId="4" borderId="69" xfId="0" applyFill="1" applyBorder="1" applyAlignment="1">
      <alignment horizontal="center"/>
    </xf>
    <xf numFmtId="0" fontId="0" fillId="4" borderId="19" xfId="0" applyFill="1" applyBorder="1" applyAlignment="1">
      <alignment horizontal="center"/>
    </xf>
    <xf numFmtId="0" fontId="0" fillId="4" borderId="16" xfId="0" applyFill="1" applyBorder="1" applyAlignment="1">
      <alignment horizontal="center"/>
    </xf>
    <xf numFmtId="0" fontId="0" fillId="4" borderId="4" xfId="0" applyFill="1" applyBorder="1" applyAlignment="1">
      <alignment horizontal="center"/>
    </xf>
    <xf numFmtId="0" fontId="0" fillId="4" borderId="77" xfId="0" applyFill="1" applyBorder="1" applyAlignment="1">
      <alignment horizontal="center"/>
    </xf>
    <xf numFmtId="0" fontId="3" fillId="4" borderId="43" xfId="0" applyFont="1" applyFill="1" applyBorder="1" applyAlignment="1">
      <alignment horizontal="center" vertical="top" wrapText="1"/>
    </xf>
    <xf numFmtId="0" fontId="3" fillId="4" borderId="0" xfId="0" applyFont="1" applyFill="1" applyAlignment="1">
      <alignment horizontal="center" vertical="top" wrapText="1"/>
    </xf>
    <xf numFmtId="0" fontId="3" fillId="4" borderId="44" xfId="0" applyFont="1" applyFill="1" applyBorder="1" applyAlignment="1">
      <alignment horizontal="center" vertical="top" wrapText="1"/>
    </xf>
    <xf numFmtId="0" fontId="0" fillId="4" borderId="43" xfId="0" applyFill="1" applyBorder="1" applyAlignment="1">
      <alignment horizontal="center" vertical="top" wrapText="1"/>
    </xf>
    <xf numFmtId="0" fontId="0" fillId="4" borderId="0" xfId="0" applyFill="1" applyAlignment="1">
      <alignment horizontal="center" vertical="top" wrapText="1"/>
    </xf>
    <xf numFmtId="0" fontId="0" fillId="4" borderId="44" xfId="0" applyFill="1" applyBorder="1" applyAlignment="1">
      <alignment horizontal="center" vertical="top" wrapText="1"/>
    </xf>
    <xf numFmtId="0" fontId="0" fillId="4" borderId="61" xfId="0" applyFill="1" applyBorder="1" applyAlignment="1">
      <alignment horizontal="left" vertical="center" wrapText="1"/>
    </xf>
    <xf numFmtId="0" fontId="0" fillId="4" borderId="6" xfId="0" applyFill="1" applyBorder="1" applyAlignment="1">
      <alignment horizontal="left" vertical="center" wrapText="1"/>
    </xf>
    <xf numFmtId="0" fontId="0" fillId="4" borderId="73" xfId="0" applyFill="1" applyBorder="1" applyAlignment="1">
      <alignment horizontal="left" vertical="center" wrapText="1"/>
    </xf>
    <xf numFmtId="0" fontId="0" fillId="4" borderId="69" xfId="0" applyFill="1" applyBorder="1" applyAlignment="1">
      <alignment horizontal="center" vertical="center"/>
    </xf>
    <xf numFmtId="0" fontId="0" fillId="4" borderId="19" xfId="0" applyFill="1" applyBorder="1" applyAlignment="1">
      <alignment horizontal="center" vertical="center"/>
    </xf>
    <xf numFmtId="0" fontId="0" fillId="4" borderId="70" xfId="0" applyFill="1" applyBorder="1" applyAlignment="1">
      <alignment horizontal="center" vertical="center"/>
    </xf>
    <xf numFmtId="0" fontId="0" fillId="4" borderId="20" xfId="0" applyFill="1" applyBorder="1" applyAlignment="1">
      <alignment horizontal="center" vertical="center"/>
    </xf>
    <xf numFmtId="0" fontId="3" fillId="4" borderId="59" xfId="0" applyFont="1" applyFill="1" applyBorder="1" applyAlignment="1">
      <alignment horizontal="center" vertical="center"/>
    </xf>
    <xf numFmtId="0" fontId="3" fillId="4" borderId="5" xfId="0" applyFont="1" applyFill="1" applyBorder="1" applyAlignment="1">
      <alignment horizontal="center"/>
    </xf>
    <xf numFmtId="0" fontId="3" fillId="4" borderId="63" xfId="0" applyFont="1" applyFill="1" applyBorder="1" applyAlignment="1">
      <alignment horizontal="center"/>
    </xf>
    <xf numFmtId="0" fontId="0" fillId="4" borderId="66" xfId="0" applyFill="1" applyBorder="1" applyAlignment="1">
      <alignment horizontal="center" vertical="center"/>
    </xf>
    <xf numFmtId="0" fontId="0" fillId="4" borderId="4" xfId="0" applyFill="1" applyBorder="1" applyAlignment="1">
      <alignment horizontal="center" vertical="center"/>
    </xf>
    <xf numFmtId="0" fontId="0" fillId="4" borderId="30" xfId="0" applyFill="1" applyBorder="1" applyAlignment="1">
      <alignment horizontal="center" vertical="center"/>
    </xf>
    <xf numFmtId="0" fontId="18" fillId="4" borderId="43" xfId="0" applyFont="1" applyFill="1" applyBorder="1" applyAlignment="1">
      <alignment horizontal="left" wrapText="1"/>
    </xf>
    <xf numFmtId="0" fontId="25" fillId="4" borderId="0" xfId="0" applyFont="1" applyFill="1" applyAlignment="1">
      <alignment horizontal="left" wrapText="1"/>
    </xf>
    <xf numFmtId="0" fontId="25" fillId="4" borderId="44" xfId="0" applyFont="1" applyFill="1" applyBorder="1" applyAlignment="1">
      <alignment horizontal="left" wrapText="1"/>
    </xf>
    <xf numFmtId="0" fontId="25" fillId="4" borderId="48" xfId="0" applyFont="1" applyFill="1" applyBorder="1" applyAlignment="1">
      <alignment horizontal="left" wrapText="1"/>
    </xf>
    <xf numFmtId="0" fontId="25" fillId="4" borderId="49" xfId="0" applyFont="1" applyFill="1" applyBorder="1" applyAlignment="1">
      <alignment horizontal="left" wrapText="1"/>
    </xf>
    <xf numFmtId="0" fontId="25" fillId="4" borderId="50" xfId="0" applyFont="1" applyFill="1" applyBorder="1" applyAlignment="1">
      <alignment horizontal="left" wrapText="1"/>
    </xf>
    <xf numFmtId="0" fontId="0" fillId="4" borderId="74" xfId="0" applyFill="1" applyBorder="1" applyAlignment="1">
      <alignment horizontal="center" vertical="center"/>
    </xf>
    <xf numFmtId="0" fontId="0" fillId="4" borderId="18" xfId="0" applyFill="1" applyBorder="1" applyAlignment="1">
      <alignment horizontal="center" vertical="center"/>
    </xf>
    <xf numFmtId="0" fontId="0" fillId="4" borderId="72" xfId="0" applyFill="1" applyBorder="1" applyAlignment="1">
      <alignment horizontal="center" vertical="center"/>
    </xf>
    <xf numFmtId="0" fontId="0" fillId="4" borderId="22" xfId="0" applyFill="1" applyBorder="1" applyAlignment="1">
      <alignment horizontal="center" vertical="center"/>
    </xf>
    <xf numFmtId="0" fontId="0" fillId="4" borderId="31" xfId="0" applyFill="1" applyBorder="1" applyAlignment="1">
      <alignment horizontal="center" vertical="center"/>
    </xf>
    <xf numFmtId="0" fontId="0" fillId="4" borderId="61" xfId="0" applyFill="1" applyBorder="1" applyAlignment="1">
      <alignment horizontal="left"/>
    </xf>
    <xf numFmtId="0" fontId="0" fillId="4" borderId="6" xfId="0" applyFill="1" applyBorder="1" applyAlignment="1">
      <alignment horizontal="left"/>
    </xf>
    <xf numFmtId="0" fontId="0" fillId="4" borderId="73" xfId="0" applyFill="1" applyBorder="1" applyAlignment="1">
      <alignment horizontal="left"/>
    </xf>
    <xf numFmtId="0" fontId="0" fillId="4" borderId="68" xfId="0" applyFill="1" applyBorder="1" applyAlignment="1">
      <alignment horizontal="center"/>
    </xf>
    <xf numFmtId="0" fontId="0" fillId="4" borderId="35" xfId="0" applyFill="1" applyBorder="1" applyAlignment="1">
      <alignment horizontal="center"/>
    </xf>
    <xf numFmtId="0" fontId="0" fillId="4" borderId="40" xfId="0" applyFill="1" applyBorder="1" applyAlignment="1">
      <alignment horizontal="left" vertical="top" wrapText="1"/>
    </xf>
    <xf numFmtId="0" fontId="0" fillId="4" borderId="41" xfId="0" applyFill="1" applyBorder="1" applyAlignment="1">
      <alignment horizontal="left" vertical="top" wrapText="1"/>
    </xf>
    <xf numFmtId="0" fontId="0" fillId="4" borderId="42" xfId="0" applyFill="1" applyBorder="1" applyAlignment="1">
      <alignment horizontal="left" vertical="top" wrapText="1"/>
    </xf>
    <xf numFmtId="0" fontId="0" fillId="4" borderId="40" xfId="0" applyFill="1" applyBorder="1" applyAlignment="1">
      <alignment horizontal="left" wrapText="1"/>
    </xf>
    <xf numFmtId="0" fontId="0" fillId="4" borderId="41" xfId="0" applyFill="1" applyBorder="1" applyAlignment="1">
      <alignment horizontal="left" wrapText="1"/>
    </xf>
    <xf numFmtId="0" fontId="0" fillId="4" borderId="42" xfId="0" applyFill="1" applyBorder="1" applyAlignment="1">
      <alignment horizontal="left" wrapText="1"/>
    </xf>
    <xf numFmtId="0" fontId="3" fillId="4" borderId="59"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60" xfId="0" applyFont="1" applyFill="1" applyBorder="1" applyAlignment="1">
      <alignment horizontal="left" vertical="top" wrapText="1"/>
    </xf>
    <xf numFmtId="0" fontId="3" fillId="4" borderId="45"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5" xfId="0" applyFont="1" applyFill="1" applyBorder="1" applyAlignment="1">
      <alignment horizontal="center" wrapText="1"/>
    </xf>
    <xf numFmtId="0" fontId="18" fillId="4" borderId="43"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44" xfId="0" applyFont="1" applyFill="1" applyBorder="1" applyAlignment="1">
      <alignment horizontal="left" vertical="center" wrapText="1"/>
    </xf>
    <xf numFmtId="0" fontId="3" fillId="4" borderId="52" xfId="0" applyFont="1" applyFill="1" applyBorder="1" applyAlignment="1">
      <alignment horizontal="center"/>
    </xf>
    <xf numFmtId="0" fontId="3" fillId="4" borderId="53" xfId="0" applyFont="1" applyFill="1" applyBorder="1" applyAlignment="1">
      <alignment horizontal="center"/>
    </xf>
    <xf numFmtId="0" fontId="3" fillId="4" borderId="54" xfId="0" applyFont="1" applyFill="1" applyBorder="1" applyAlignment="1">
      <alignment horizontal="center"/>
    </xf>
    <xf numFmtId="0" fontId="3" fillId="3" borderId="52"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3" fillId="10" borderId="52" xfId="0" applyFont="1" applyFill="1" applyBorder="1" applyAlignment="1">
      <alignment horizontal="center"/>
    </xf>
    <xf numFmtId="0" fontId="3" fillId="10" borderId="53" xfId="0" applyFont="1" applyFill="1" applyBorder="1" applyAlignment="1">
      <alignment horizontal="center"/>
    </xf>
    <xf numFmtId="0" fontId="3" fillId="10" borderId="54" xfId="0" applyFont="1" applyFill="1" applyBorder="1" applyAlignment="1">
      <alignment horizontal="center"/>
    </xf>
    <xf numFmtId="0" fontId="3" fillId="13" borderId="52" xfId="0" applyFont="1" applyFill="1" applyBorder="1" applyAlignment="1">
      <alignment horizontal="center"/>
    </xf>
    <xf numFmtId="0" fontId="3" fillId="13" borderId="53" xfId="0" applyFont="1" applyFill="1" applyBorder="1" applyAlignment="1">
      <alignment horizontal="center"/>
    </xf>
    <xf numFmtId="0" fontId="3" fillId="13" borderId="54" xfId="0" applyFont="1" applyFill="1" applyBorder="1" applyAlignment="1">
      <alignment horizontal="center"/>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4" borderId="43" xfId="0" applyFill="1" applyBorder="1" applyAlignment="1">
      <alignment horizontal="center" wrapText="1"/>
    </xf>
    <xf numFmtId="0" fontId="0" fillId="4" borderId="0" xfId="0" applyFill="1" applyAlignment="1">
      <alignment horizontal="center" wrapText="1"/>
    </xf>
    <xf numFmtId="0" fontId="0" fillId="4" borderId="44" xfId="0" applyFill="1" applyBorder="1" applyAlignment="1">
      <alignment horizontal="center" wrapText="1"/>
    </xf>
    <xf numFmtId="0" fontId="3" fillId="4" borderId="43" xfId="0" applyFont="1" applyFill="1" applyBorder="1" applyAlignment="1">
      <alignment horizontal="center" wrapText="1"/>
    </xf>
    <xf numFmtId="0" fontId="3" fillId="4" borderId="0" xfId="0" applyFont="1" applyFill="1" applyAlignment="1">
      <alignment horizontal="center" wrapText="1"/>
    </xf>
    <xf numFmtId="0" fontId="3" fillId="4" borderId="44" xfId="0" applyFont="1" applyFill="1" applyBorder="1" applyAlignment="1">
      <alignment horizontal="center" wrapText="1"/>
    </xf>
    <xf numFmtId="0" fontId="3" fillId="4" borderId="59" xfId="0" applyFont="1" applyFill="1" applyBorder="1" applyAlignment="1">
      <alignment horizontal="center" wrapText="1"/>
    </xf>
    <xf numFmtId="0" fontId="3" fillId="4" borderId="9" xfId="0" applyFont="1" applyFill="1" applyBorder="1" applyAlignment="1">
      <alignment horizontal="center" wrapText="1"/>
    </xf>
    <xf numFmtId="0" fontId="3" fillId="4" borderId="60" xfId="0" applyFont="1" applyFill="1" applyBorder="1" applyAlignment="1">
      <alignment horizontal="center" wrapText="1"/>
    </xf>
    <xf numFmtId="0" fontId="0" fillId="4" borderId="48" xfId="0" applyFill="1" applyBorder="1" applyAlignment="1">
      <alignment horizontal="left" vertical="top" wrapText="1"/>
    </xf>
    <xf numFmtId="0" fontId="0" fillId="4" borderId="49" xfId="0" applyFill="1" applyBorder="1" applyAlignment="1">
      <alignment horizontal="left" vertical="top" wrapText="1"/>
    </xf>
    <xf numFmtId="0" fontId="0" fillId="4" borderId="50" xfId="0" applyFill="1" applyBorder="1" applyAlignment="1">
      <alignment horizontal="left" vertical="top" wrapText="1"/>
    </xf>
    <xf numFmtId="0" fontId="3" fillId="4" borderId="61" xfId="0" applyFont="1" applyFill="1" applyBorder="1" applyAlignment="1">
      <alignment horizontal="center" vertical="center"/>
    </xf>
    <xf numFmtId="0" fontId="3" fillId="4" borderId="7" xfId="0" applyFont="1" applyFill="1" applyBorder="1" applyAlignment="1">
      <alignment horizontal="center" vertical="center"/>
    </xf>
    <xf numFmtId="0" fontId="3" fillId="4" borderId="56"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62" xfId="0" applyFont="1" applyFill="1" applyBorder="1" applyAlignment="1">
      <alignment horizontal="center" vertical="center"/>
    </xf>
    <xf numFmtId="0" fontId="0" fillId="4" borderId="64" xfId="0" applyFill="1" applyBorder="1" applyAlignment="1">
      <alignment horizontal="center" vertical="center"/>
    </xf>
    <xf numFmtId="0" fontId="0" fillId="4" borderId="23" xfId="0" applyFill="1" applyBorder="1" applyAlignment="1">
      <alignment horizontal="center" vertical="center"/>
    </xf>
    <xf numFmtId="0" fontId="0" fillId="4" borderId="29" xfId="0" applyFill="1" applyBorder="1" applyAlignment="1">
      <alignment horizontal="center" vertical="center"/>
    </xf>
    <xf numFmtId="0" fontId="3" fillId="5" borderId="0" xfId="1" applyFont="1" applyFill="1" applyAlignment="1">
      <alignment horizontal="center" vertical="center"/>
    </xf>
    <xf numFmtId="0" fontId="3" fillId="5" borderId="9" xfId="1" applyFont="1" applyFill="1" applyBorder="1" applyAlignment="1">
      <alignment horizontal="center" vertical="center"/>
    </xf>
    <xf numFmtId="0" fontId="19" fillId="0" borderId="18" xfId="1" applyBorder="1" applyAlignment="1">
      <alignment horizontal="center" vertical="center"/>
    </xf>
    <xf numFmtId="0" fontId="19" fillId="0" borderId="19" xfId="1" applyBorder="1" applyAlignment="1">
      <alignment horizontal="center" vertical="center"/>
    </xf>
    <xf numFmtId="0" fontId="19" fillId="0" borderId="20" xfId="1" applyBorder="1" applyAlignment="1">
      <alignment horizontal="center" vertical="center"/>
    </xf>
    <xf numFmtId="0" fontId="0" fillId="0" borderId="24" xfId="0" applyBorder="1" applyAlignment="1">
      <alignment horizontal="center" vertical="center"/>
    </xf>
    <xf numFmtId="0" fontId="0" fillId="0" borderId="34" xfId="0" applyBorder="1" applyAlignment="1">
      <alignment horizontal="center" vertical="center"/>
    </xf>
    <xf numFmtId="0" fontId="0" fillId="0" borderId="21" xfId="0" applyBorder="1" applyAlignment="1">
      <alignment horizontal="center" vertical="center"/>
    </xf>
    <xf numFmtId="0" fontId="0" fillId="5" borderId="24" xfId="0" applyFill="1" applyBorder="1" applyAlignment="1">
      <alignment horizontal="center" vertical="center"/>
    </xf>
    <xf numFmtId="0" fontId="0" fillId="5" borderId="34" xfId="0" applyFill="1" applyBorder="1" applyAlignment="1">
      <alignment horizontal="center" vertical="center"/>
    </xf>
    <xf numFmtId="0" fontId="0" fillId="5" borderId="21" xfId="0" applyFill="1" applyBorder="1" applyAlignment="1">
      <alignment horizontal="center" vertical="center"/>
    </xf>
    <xf numFmtId="0" fontId="19" fillId="0" borderId="24" xfId="1" applyBorder="1" applyAlignment="1">
      <alignment horizontal="center" vertical="center"/>
    </xf>
    <xf numFmtId="0" fontId="19" fillId="0" borderId="34" xfId="1" applyBorder="1" applyAlignment="1">
      <alignment horizontal="center" vertical="center"/>
    </xf>
    <xf numFmtId="0" fontId="19" fillId="0" borderId="21" xfId="1" applyBorder="1" applyAlignment="1">
      <alignment horizontal="center" vertical="center"/>
    </xf>
    <xf numFmtId="0" fontId="3" fillId="3" borderId="0" xfId="1" applyFont="1" applyFill="1" applyAlignment="1">
      <alignment horizontal="center" vertical="center"/>
    </xf>
    <xf numFmtId="0" fontId="3" fillId="3" borderId="9" xfId="1" applyFont="1" applyFill="1" applyBorder="1" applyAlignment="1">
      <alignment horizontal="center" vertical="center"/>
    </xf>
    <xf numFmtId="0" fontId="3" fillId="10" borderId="0" xfId="1" applyFont="1" applyFill="1" applyAlignment="1">
      <alignment horizontal="center" vertical="center"/>
    </xf>
    <xf numFmtId="0" fontId="3" fillId="10" borderId="9" xfId="1" applyFont="1" applyFill="1" applyBorder="1" applyAlignment="1">
      <alignment horizontal="center" vertical="center"/>
    </xf>
    <xf numFmtId="2" fontId="21" fillId="0" borderId="24" xfId="1" applyNumberFormat="1" applyFont="1" applyBorder="1" applyAlignment="1">
      <alignment horizontal="center" vertical="center"/>
    </xf>
    <xf numFmtId="2" fontId="21" fillId="0" borderId="34" xfId="1" applyNumberFormat="1" applyFont="1" applyBorder="1" applyAlignment="1">
      <alignment horizontal="center" vertical="center"/>
    </xf>
    <xf numFmtId="2" fontId="21" fillId="0" borderId="21" xfId="1" applyNumberFormat="1" applyFont="1" applyBorder="1" applyAlignment="1">
      <alignment horizontal="center" vertical="center"/>
    </xf>
    <xf numFmtId="0" fontId="3" fillId="0" borderId="24" xfId="1" applyFont="1" applyBorder="1" applyAlignment="1">
      <alignment horizontal="center" vertical="center"/>
    </xf>
    <xf numFmtId="0" fontId="3" fillId="0" borderId="21" xfId="1" applyFont="1" applyBorder="1" applyAlignment="1">
      <alignment horizontal="center" vertical="center"/>
    </xf>
    <xf numFmtId="0" fontId="3" fillId="0" borderId="2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5" xfId="1" applyFont="1" applyBorder="1" applyAlignment="1">
      <alignment horizontal="center" vertical="center"/>
    </xf>
    <xf numFmtId="0" fontId="3" fillId="11" borderId="9" xfId="1" applyFont="1" applyFill="1" applyBorder="1" applyAlignment="1">
      <alignment horizontal="center"/>
    </xf>
    <xf numFmtId="0" fontId="3" fillId="0" borderId="34" xfId="1" applyFont="1" applyBorder="1" applyAlignment="1">
      <alignment horizontal="center" vertical="center"/>
    </xf>
    <xf numFmtId="0" fontId="3" fillId="0" borderId="7" xfId="1" applyFont="1" applyBorder="1" applyAlignment="1">
      <alignment horizontal="center" vertical="center"/>
    </xf>
    <xf numFmtId="0" fontId="3" fillId="0" borderId="58" xfId="1" applyFont="1" applyBorder="1" applyAlignment="1">
      <alignment horizontal="center" vertical="center"/>
    </xf>
    <xf numFmtId="0" fontId="3" fillId="0" borderId="56"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34" xfId="1" applyFont="1" applyBorder="1" applyAlignment="1">
      <alignment horizontal="center" vertical="center" wrapText="1"/>
    </xf>
    <xf numFmtId="0" fontId="3" fillId="0" borderId="21" xfId="1" applyFont="1" applyBorder="1" applyAlignment="1">
      <alignment horizontal="center" vertical="center" wrapText="1"/>
    </xf>
    <xf numFmtId="0" fontId="19" fillId="4" borderId="18" xfId="1" applyFill="1" applyBorder="1" applyAlignment="1">
      <alignment horizontal="center" vertical="center"/>
    </xf>
    <xf numFmtId="0" fontId="19" fillId="4" borderId="19" xfId="1" applyFill="1" applyBorder="1" applyAlignment="1">
      <alignment horizontal="center" vertical="center"/>
    </xf>
    <xf numFmtId="0" fontId="19" fillId="4" borderId="20" xfId="1" applyFill="1" applyBorder="1" applyAlignment="1">
      <alignment horizontal="center" vertical="center"/>
    </xf>
    <xf numFmtId="0" fontId="19" fillId="4" borderId="24" xfId="1" applyFill="1" applyBorder="1" applyAlignment="1">
      <alignment horizontal="center" vertical="center"/>
    </xf>
    <xf numFmtId="0" fontId="19" fillId="4" borderId="34" xfId="1" applyFill="1" applyBorder="1" applyAlignment="1">
      <alignment horizontal="center" vertical="center"/>
    </xf>
    <xf numFmtId="0" fontId="19" fillId="4" borderId="21" xfId="1" applyFill="1" applyBorder="1" applyAlignment="1">
      <alignment horizontal="center" vertical="center"/>
    </xf>
    <xf numFmtId="165" fontId="19" fillId="4" borderId="24" xfId="1" applyNumberFormat="1" applyFill="1" applyBorder="1" applyAlignment="1">
      <alignment horizontal="center" vertical="center"/>
    </xf>
    <xf numFmtId="165" fontId="19" fillId="4" borderId="34" xfId="1" applyNumberFormat="1" applyFill="1" applyBorder="1" applyAlignment="1">
      <alignment horizontal="center" vertical="center"/>
    </xf>
    <xf numFmtId="165" fontId="19" fillId="4" borderId="21" xfId="1" applyNumberFormat="1" applyFill="1" applyBorder="1" applyAlignment="1">
      <alignment horizontal="center" vertical="center"/>
    </xf>
    <xf numFmtId="0" fontId="19" fillId="4" borderId="5" xfId="1" applyFill="1" applyBorder="1" applyAlignment="1">
      <alignment horizontal="center" vertical="center"/>
    </xf>
    <xf numFmtId="3" fontId="19" fillId="4" borderId="24" xfId="1" applyNumberFormat="1" applyFill="1" applyBorder="1" applyAlignment="1">
      <alignment horizontal="center" vertical="center"/>
    </xf>
    <xf numFmtId="3" fontId="19" fillId="4" borderId="34" xfId="1" applyNumberFormat="1" applyFill="1" applyBorder="1" applyAlignment="1">
      <alignment horizontal="center" vertical="center"/>
    </xf>
    <xf numFmtId="3" fontId="19" fillId="4" borderId="21" xfId="1" applyNumberFormat="1" applyFill="1" applyBorder="1" applyAlignment="1">
      <alignment horizontal="center" vertical="center"/>
    </xf>
    <xf numFmtId="0" fontId="3" fillId="5" borderId="0" xfId="0" applyFont="1" applyFill="1" applyAlignment="1">
      <alignment horizontal="center" vertical="center"/>
    </xf>
    <xf numFmtId="0" fontId="3" fillId="5" borderId="9"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3" fillId="10" borderId="0" xfId="0" applyFont="1" applyFill="1" applyAlignment="1">
      <alignment horizontal="center" vertical="center"/>
    </xf>
    <xf numFmtId="0" fontId="3" fillId="10" borderId="9" xfId="0" applyFont="1" applyFill="1" applyBorder="1" applyAlignment="1">
      <alignment horizontal="center" vertical="center"/>
    </xf>
    <xf numFmtId="0" fontId="3" fillId="11" borderId="9" xfId="0" applyFont="1" applyFill="1" applyBorder="1" applyAlignment="1">
      <alignment horizontal="center" vertical="center"/>
    </xf>
    <xf numFmtId="0" fontId="0" fillId="4" borderId="34" xfId="0" applyFill="1" applyBorder="1" applyAlignment="1">
      <alignment horizontal="center" vertical="center"/>
    </xf>
    <xf numFmtId="2" fontId="21" fillId="4" borderId="24" xfId="0" applyNumberFormat="1" applyFont="1" applyFill="1" applyBorder="1" applyAlignment="1">
      <alignment horizontal="center" vertical="center"/>
    </xf>
    <xf numFmtId="2" fontId="21" fillId="4" borderId="34" xfId="0" applyNumberFormat="1" applyFont="1" applyFill="1" applyBorder="1" applyAlignment="1">
      <alignment horizontal="center" vertical="center"/>
    </xf>
    <xf numFmtId="2" fontId="21" fillId="4" borderId="21" xfId="0" applyNumberFormat="1" applyFont="1" applyFill="1" applyBorder="1" applyAlignment="1">
      <alignment horizontal="center" vertical="center"/>
    </xf>
    <xf numFmtId="0" fontId="3" fillId="4" borderId="12" xfId="0" applyFont="1" applyFill="1" applyBorder="1" applyAlignment="1">
      <alignment horizontal="center" vertical="center"/>
    </xf>
    <xf numFmtId="0" fontId="3" fillId="4" borderId="2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1" xfId="0" applyFont="1" applyFill="1" applyBorder="1" applyAlignment="1">
      <alignment horizontal="center" vertical="center"/>
    </xf>
    <xf numFmtId="0" fontId="19" fillId="7" borderId="5" xfId="1" applyFill="1" applyBorder="1" applyAlignment="1">
      <alignment horizontal="center" vertical="center"/>
    </xf>
    <xf numFmtId="0" fontId="19" fillId="7" borderId="5" xfId="1" applyFill="1" applyBorder="1" applyAlignment="1">
      <alignment horizontal="center" vertical="center" wrapText="1"/>
    </xf>
    <xf numFmtId="0" fontId="19" fillId="7" borderId="5" xfId="1" applyFill="1" applyBorder="1" applyAlignment="1">
      <alignment horizontal="center"/>
    </xf>
    <xf numFmtId="0" fontId="19" fillId="7" borderId="5" xfId="1" applyFill="1" applyBorder="1" applyAlignment="1">
      <alignment horizontal="center" wrapText="1"/>
    </xf>
    <xf numFmtId="0" fontId="17" fillId="4" borderId="40" xfId="0" applyFont="1" applyFill="1" applyBorder="1" applyAlignment="1">
      <alignment horizontal="left" vertical="center" wrapText="1"/>
    </xf>
    <xf numFmtId="0" fontId="17" fillId="4" borderId="41" xfId="0" applyFont="1" applyFill="1" applyBorder="1" applyAlignment="1">
      <alignment horizontal="left" vertical="center" wrapText="1"/>
    </xf>
    <xf numFmtId="0" fontId="17" fillId="4" borderId="42" xfId="0" applyFont="1" applyFill="1" applyBorder="1" applyAlignment="1">
      <alignment horizontal="left" vertical="center" wrapText="1"/>
    </xf>
    <xf numFmtId="0" fontId="17" fillId="4" borderId="43" xfId="0" applyFont="1" applyFill="1" applyBorder="1" applyAlignment="1">
      <alignment horizontal="left" vertical="center" wrapText="1"/>
    </xf>
    <xf numFmtId="0" fontId="17" fillId="4" borderId="0" xfId="0" applyFont="1" applyFill="1" applyAlignment="1">
      <alignment horizontal="left" vertical="center" wrapText="1"/>
    </xf>
    <xf numFmtId="0" fontId="17" fillId="4" borderId="44" xfId="0" applyFont="1" applyFill="1" applyBorder="1" applyAlignment="1">
      <alignment horizontal="left" vertical="center" wrapText="1"/>
    </xf>
    <xf numFmtId="0" fontId="17" fillId="4" borderId="48" xfId="0" applyFont="1" applyFill="1" applyBorder="1" applyAlignment="1">
      <alignment horizontal="left" vertical="center" wrapText="1"/>
    </xf>
    <xf numFmtId="0" fontId="17" fillId="4" borderId="49" xfId="0" applyFont="1" applyFill="1" applyBorder="1" applyAlignment="1">
      <alignment horizontal="left" vertical="center" wrapText="1"/>
    </xf>
    <xf numFmtId="0" fontId="17" fillId="4" borderId="50" xfId="0" applyFont="1" applyFill="1" applyBorder="1" applyAlignment="1">
      <alignment horizontal="left" vertical="center" wrapText="1"/>
    </xf>
    <xf numFmtId="0" fontId="3" fillId="4" borderId="5"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5" borderId="12" xfId="1" applyFont="1" applyFill="1" applyBorder="1" applyAlignment="1">
      <alignment horizontal="center" vertical="center"/>
    </xf>
    <xf numFmtId="0" fontId="3" fillId="5" borderId="7" xfId="1" applyFont="1" applyFill="1" applyBorder="1" applyAlignment="1">
      <alignment horizontal="center" vertic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3" fillId="2" borderId="12" xfId="0" applyFont="1" applyFill="1" applyBorder="1" applyAlignment="1">
      <alignment horizontal="center"/>
    </xf>
    <xf numFmtId="3" fontId="0" fillId="4" borderId="24" xfId="0" applyNumberFormat="1" applyFill="1" applyBorder="1" applyAlignment="1">
      <alignment horizontal="center" vertical="center"/>
    </xf>
    <xf numFmtId="165" fontId="0" fillId="4" borderId="24" xfId="0" applyNumberFormat="1" applyFill="1" applyBorder="1" applyAlignment="1">
      <alignment horizontal="center" vertical="center"/>
    </xf>
    <xf numFmtId="165" fontId="0" fillId="4" borderId="34" xfId="0" applyNumberFormat="1" applyFill="1" applyBorder="1" applyAlignment="1">
      <alignment horizontal="center" vertical="center"/>
    </xf>
    <xf numFmtId="165" fontId="0" fillId="4" borderId="21" xfId="0" applyNumberFormat="1" applyFill="1" applyBorder="1" applyAlignment="1">
      <alignment horizontal="center" vertical="center"/>
    </xf>
    <xf numFmtId="1" fontId="7" fillId="2" borderId="10" xfId="0" applyNumberFormat="1" applyFont="1" applyFill="1" applyBorder="1" applyAlignment="1">
      <alignment horizontal="center" vertical="center"/>
    </xf>
    <xf numFmtId="1" fontId="7" fillId="2" borderId="12" xfId="0" applyNumberFormat="1" applyFont="1" applyFill="1" applyBorder="1" applyAlignment="1">
      <alignment horizontal="center" vertical="center"/>
    </xf>
    <xf numFmtId="0" fontId="17" fillId="4" borderId="40" xfId="0" applyFont="1" applyFill="1" applyBorder="1" applyAlignment="1">
      <alignment horizontal="center" vertical="top" wrapText="1"/>
    </xf>
    <xf numFmtId="0" fontId="17" fillId="4" borderId="41" xfId="0" applyFont="1" applyFill="1" applyBorder="1" applyAlignment="1">
      <alignment horizontal="center" vertical="top" wrapText="1"/>
    </xf>
    <xf numFmtId="0" fontId="17" fillId="4" borderId="42" xfId="0" applyFont="1" applyFill="1" applyBorder="1" applyAlignment="1">
      <alignment horizontal="center" vertical="top" wrapText="1"/>
    </xf>
    <xf numFmtId="0" fontId="17" fillId="4" borderId="43" xfId="0" applyFont="1" applyFill="1" applyBorder="1" applyAlignment="1">
      <alignment horizontal="center" vertical="top" wrapText="1"/>
    </xf>
    <xf numFmtId="0" fontId="17" fillId="4" borderId="0" xfId="0" applyFont="1" applyFill="1" applyAlignment="1">
      <alignment horizontal="center" vertical="top" wrapText="1"/>
    </xf>
    <xf numFmtId="0" fontId="17" fillId="4" borderId="44" xfId="0" applyFont="1" applyFill="1" applyBorder="1" applyAlignment="1">
      <alignment horizontal="center" vertical="top" wrapText="1"/>
    </xf>
    <xf numFmtId="0" fontId="17" fillId="4" borderId="48" xfId="0" applyFont="1" applyFill="1" applyBorder="1" applyAlignment="1">
      <alignment horizontal="center" vertical="top" wrapText="1"/>
    </xf>
    <xf numFmtId="0" fontId="17" fillId="4" borderId="49" xfId="0" applyFont="1" applyFill="1" applyBorder="1" applyAlignment="1">
      <alignment horizontal="center" vertical="top" wrapText="1"/>
    </xf>
    <xf numFmtId="0" fontId="17" fillId="4" borderId="50" xfId="0" applyFont="1" applyFill="1" applyBorder="1" applyAlignment="1">
      <alignment horizontal="center" vertical="top" wrapText="1"/>
    </xf>
    <xf numFmtId="0" fontId="3" fillId="4" borderId="10" xfId="0" applyFont="1" applyFill="1" applyBorder="1" applyAlignment="1">
      <alignment horizontal="left" vertical="center"/>
    </xf>
    <xf numFmtId="0" fontId="3" fillId="4" borderId="12" xfId="0" applyFont="1" applyFill="1" applyBorder="1" applyAlignment="1">
      <alignment horizontal="left" vertical="center"/>
    </xf>
  </cellXfs>
  <cellStyles count="2">
    <cellStyle name="Normal" xfId="0" builtinId="0"/>
    <cellStyle name="Normal 2" xfId="1"/>
  </cellStyles>
  <dxfs count="0"/>
  <tableStyles count="0" defaultTableStyle="TableStyleMedium2" defaultPivotStyle="PivotStyleLight16"/>
  <colors>
    <mruColors>
      <color rgb="FFEA7275"/>
      <color rgb="FFECB0FC"/>
      <color rgb="FFEF9193"/>
      <color rgb="FFF3AFB1"/>
      <color rgb="FFDE2226"/>
      <color rgb="FFB88C00"/>
      <color rgb="FFDAA600"/>
      <color rgb="FF00CC99"/>
      <color rgb="FFEFF6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Overall SSI Score of Intersection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00B050"/>
            </a:solidFill>
            <a:ln>
              <a:noFill/>
            </a:ln>
            <a:effectLst/>
          </c:spPr>
          <c:invertIfNegative val="0"/>
          <c:dLbls>
            <c:spPr>
              <a:solidFill>
                <a:schemeClr val="accent6">
                  <a:lumMod val="20000"/>
                  <a:lumOff val="8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Results!$B$14:$B$17</c:f>
              <c:strCache>
                <c:ptCount val="4"/>
                <c:pt idx="0">
                  <c:v>Conventional</c:v>
                </c:pt>
                <c:pt idx="1">
                  <c:v>Partial CFI</c:v>
                </c:pt>
                <c:pt idx="2">
                  <c:v>RCI</c:v>
                </c:pt>
                <c:pt idx="3">
                  <c:v>Two-phase MUT</c:v>
                </c:pt>
              </c:strCache>
            </c:strRef>
          </c:cat>
          <c:val>
            <c:numRef>
              <c:f>Results!$C$14:$C$17</c:f>
              <c:numCache>
                <c:formatCode>0</c:formatCode>
                <c:ptCount val="4"/>
                <c:pt idx="0">
                  <c:v>6.1754587307298294</c:v>
                </c:pt>
                <c:pt idx="1">
                  <c:v>4.7836159264284985</c:v>
                </c:pt>
                <c:pt idx="2">
                  <c:v>22.279743800983624</c:v>
                </c:pt>
                <c:pt idx="3">
                  <c:v>10.466572974996788</c:v>
                </c:pt>
              </c:numCache>
            </c:numRef>
          </c:val>
          <c:extLst xmlns:c16r2="http://schemas.microsoft.com/office/drawing/2015/06/chart">
            <c:ext xmlns:c16="http://schemas.microsoft.com/office/drawing/2014/chart" uri="{C3380CC4-5D6E-409C-BE32-E72D297353CC}">
              <c16:uniqueId val="{00000000-0DE9-4CE2-B6BE-7DE1CBD64A8F}"/>
            </c:ext>
          </c:extLst>
        </c:ser>
        <c:dLbls>
          <c:showLegendKey val="0"/>
          <c:showVal val="0"/>
          <c:showCatName val="0"/>
          <c:showSerName val="0"/>
          <c:showPercent val="0"/>
          <c:showBubbleSize val="0"/>
        </c:dLbls>
        <c:gapWidth val="219"/>
        <c:overlap val="-27"/>
        <c:axId val="382332976"/>
        <c:axId val="382328664"/>
      </c:barChart>
      <c:catAx>
        <c:axId val="38233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82328664"/>
        <c:crosses val="autoZero"/>
        <c:auto val="1"/>
        <c:lblAlgn val="ctr"/>
        <c:lblOffset val="100"/>
        <c:noMultiLvlLbl val="0"/>
      </c:catAx>
      <c:valAx>
        <c:axId val="382328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823329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conflict</a:t>
            </a:r>
            <a:r>
              <a:rPr lang="en-US" b="1" baseline="0"/>
              <a:t> points</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bg2">
                <a:lumMod val="75000"/>
              </a:schemeClr>
            </a:solidFill>
            <a:ln>
              <a:noFill/>
            </a:ln>
            <a:effectLst/>
          </c:spPr>
          <c:invertIfNegative val="0"/>
          <c:dLbls>
            <c:spPr>
              <a:solidFill>
                <a:srgbClr val="EF9193"/>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Results!$B$4:$B$7</c:f>
              <c:strCache>
                <c:ptCount val="4"/>
                <c:pt idx="0">
                  <c:v>Conventional</c:v>
                </c:pt>
                <c:pt idx="1">
                  <c:v>Partial CFI</c:v>
                </c:pt>
                <c:pt idx="2">
                  <c:v>RCI</c:v>
                </c:pt>
                <c:pt idx="3">
                  <c:v>Two-phase MUT</c:v>
                </c:pt>
              </c:strCache>
            </c:strRef>
          </c:cat>
          <c:val>
            <c:numRef>
              <c:f>Results!$F$4:$F$7</c:f>
              <c:numCache>
                <c:formatCode>General</c:formatCode>
                <c:ptCount val="4"/>
                <c:pt idx="0">
                  <c:v>32</c:v>
                </c:pt>
                <c:pt idx="1">
                  <c:v>30</c:v>
                </c:pt>
                <c:pt idx="2">
                  <c:v>14</c:v>
                </c:pt>
                <c:pt idx="3">
                  <c:v>16</c:v>
                </c:pt>
              </c:numCache>
            </c:numRef>
          </c:val>
          <c:extLst xmlns:c16r2="http://schemas.microsoft.com/office/drawing/2015/06/chart">
            <c:ext xmlns:c16="http://schemas.microsoft.com/office/drawing/2014/chart" uri="{C3380CC4-5D6E-409C-BE32-E72D297353CC}">
              <c16:uniqueId val="{00000000-3DC4-40F1-A206-A17C167578EF}"/>
            </c:ext>
          </c:extLst>
        </c:ser>
        <c:dLbls>
          <c:showLegendKey val="0"/>
          <c:showVal val="0"/>
          <c:showCatName val="0"/>
          <c:showSerName val="0"/>
          <c:showPercent val="0"/>
          <c:showBubbleSize val="0"/>
        </c:dLbls>
        <c:gapWidth val="219"/>
        <c:overlap val="-27"/>
        <c:axId val="482505824"/>
        <c:axId val="482507000"/>
      </c:barChart>
      <c:catAx>
        <c:axId val="48250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2507000"/>
        <c:crosses val="autoZero"/>
        <c:auto val="1"/>
        <c:lblAlgn val="ctr"/>
        <c:lblOffset val="100"/>
        <c:noMultiLvlLbl val="0"/>
      </c:catAx>
      <c:valAx>
        <c:axId val="482507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825058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SSI Score of Intersection in Crossing</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DE2226"/>
            </a:solidFill>
            <a:ln>
              <a:noFill/>
            </a:ln>
            <a:effectLst/>
          </c:spPr>
          <c:invertIfNegative val="0"/>
          <c:dLbls>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Results!$B$14:$B$17</c:f>
              <c:strCache>
                <c:ptCount val="4"/>
                <c:pt idx="0">
                  <c:v>Conventional</c:v>
                </c:pt>
                <c:pt idx="1">
                  <c:v>Partial CFI</c:v>
                </c:pt>
                <c:pt idx="2">
                  <c:v>RCI</c:v>
                </c:pt>
                <c:pt idx="3">
                  <c:v>Two-phase MUT</c:v>
                </c:pt>
              </c:strCache>
            </c:strRef>
          </c:cat>
          <c:val>
            <c:numRef>
              <c:f>Results!$G$14:$G$17</c:f>
              <c:numCache>
                <c:formatCode>0</c:formatCode>
                <c:ptCount val="4"/>
                <c:pt idx="0">
                  <c:v>4.3895980938169862E-2</c:v>
                </c:pt>
                <c:pt idx="1">
                  <c:v>1.900471212569874E-2</c:v>
                </c:pt>
                <c:pt idx="2">
                  <c:v>6.3038318194321956</c:v>
                </c:pt>
                <c:pt idx="3">
                  <c:v>0.55936171319065453</c:v>
                </c:pt>
              </c:numCache>
            </c:numRef>
          </c:val>
          <c:extLst xmlns:c16r2="http://schemas.microsoft.com/office/drawing/2015/06/chart">
            <c:ext xmlns:c16="http://schemas.microsoft.com/office/drawing/2014/chart" uri="{C3380CC4-5D6E-409C-BE32-E72D297353CC}">
              <c16:uniqueId val="{00000000-B8AD-4F8B-AA91-006AE95760E6}"/>
            </c:ext>
          </c:extLst>
        </c:ser>
        <c:dLbls>
          <c:showLegendKey val="0"/>
          <c:showVal val="0"/>
          <c:showCatName val="0"/>
          <c:showSerName val="0"/>
          <c:showPercent val="0"/>
          <c:showBubbleSize val="0"/>
        </c:dLbls>
        <c:gapWidth val="219"/>
        <c:overlap val="-27"/>
        <c:axId val="482511312"/>
        <c:axId val="482510136"/>
      </c:barChart>
      <c:catAx>
        <c:axId val="48251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2510136"/>
        <c:crosses val="autoZero"/>
        <c:auto val="1"/>
        <c:lblAlgn val="ctr"/>
        <c:lblOffset val="100"/>
        <c:noMultiLvlLbl val="0"/>
      </c:catAx>
      <c:valAx>
        <c:axId val="482510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825113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Relative Exposure</a:t>
            </a:r>
            <a:r>
              <a:rPr lang="en-US" b="1" baseline="0"/>
              <a:t> (Compared to Conventional)</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5376642911957217"/>
          <c:w val="0.8969286084860234"/>
          <c:h val="0.55424942349355732"/>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Results!$B$25:$B$27</c:f>
              <c:strCache>
                <c:ptCount val="3"/>
                <c:pt idx="0">
                  <c:v>Partial CFI</c:v>
                </c:pt>
                <c:pt idx="1">
                  <c:v>RCI</c:v>
                </c:pt>
                <c:pt idx="2">
                  <c:v>Two-phase MUT</c:v>
                </c:pt>
              </c:strCache>
            </c:strRef>
          </c:cat>
          <c:val>
            <c:numRef>
              <c:f>Results!$D$25:$D$27</c:f>
              <c:numCache>
                <c:formatCode>0.00</c:formatCode>
                <c:ptCount val="3"/>
                <c:pt idx="0">
                  <c:v>1</c:v>
                </c:pt>
                <c:pt idx="1">
                  <c:v>2.2531802785095971</c:v>
                </c:pt>
                <c:pt idx="2">
                  <c:v>2.0024087316522392</c:v>
                </c:pt>
              </c:numCache>
            </c:numRef>
          </c:val>
          <c:smooth val="0"/>
          <c:extLst xmlns:c16r2="http://schemas.microsoft.com/office/drawing/2015/06/chart">
            <c:ext xmlns:c16="http://schemas.microsoft.com/office/drawing/2014/chart" uri="{C3380CC4-5D6E-409C-BE32-E72D297353CC}">
              <c16:uniqueId val="{00000000-0C86-462E-B434-4942AA931DD7}"/>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Results!$B$25:$B$27</c:f>
              <c:strCache>
                <c:ptCount val="3"/>
                <c:pt idx="0">
                  <c:v>Partial CFI</c:v>
                </c:pt>
                <c:pt idx="1">
                  <c:v>RCI</c:v>
                </c:pt>
                <c:pt idx="2">
                  <c:v>Two-phase MUT</c:v>
                </c:pt>
              </c:strCache>
            </c:strRef>
          </c:cat>
          <c:val>
            <c:numRef>
              <c:f>Results!$E$25:$E$27</c:f>
              <c:numCache>
                <c:formatCode>0.00</c:formatCode>
                <c:ptCount val="3"/>
                <c:pt idx="0">
                  <c:v>1</c:v>
                </c:pt>
                <c:pt idx="1">
                  <c:v>2.4815787131796743</c:v>
                </c:pt>
                <c:pt idx="2">
                  <c:v>2.1851027854409542</c:v>
                </c:pt>
              </c:numCache>
            </c:numRef>
          </c:val>
          <c:smooth val="0"/>
          <c:extLst xmlns:c16r2="http://schemas.microsoft.com/office/drawing/2015/06/chart">
            <c:ext xmlns:c16="http://schemas.microsoft.com/office/drawing/2014/chart" uri="{C3380CC4-5D6E-409C-BE32-E72D297353CC}">
              <c16:uniqueId val="{00000001-0C86-462E-B434-4942AA931DD7}"/>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Results!$B$25:$B$27</c:f>
              <c:strCache>
                <c:ptCount val="3"/>
                <c:pt idx="0">
                  <c:v>Partial CFI</c:v>
                </c:pt>
                <c:pt idx="1">
                  <c:v>RCI</c:v>
                </c:pt>
                <c:pt idx="2">
                  <c:v>Two-phase MUT</c:v>
                </c:pt>
              </c:strCache>
            </c:strRef>
          </c:cat>
          <c:val>
            <c:numRef>
              <c:f>Results!$F$25:$F$27</c:f>
              <c:numCache>
                <c:formatCode>0.00</c:formatCode>
                <c:ptCount val="3"/>
                <c:pt idx="0">
                  <c:v>1</c:v>
                </c:pt>
                <c:pt idx="1">
                  <c:v>0.26058832210143146</c:v>
                </c:pt>
                <c:pt idx="2">
                  <c:v>0.74022332628265042</c:v>
                </c:pt>
              </c:numCache>
            </c:numRef>
          </c:val>
          <c:smooth val="0"/>
          <c:extLst xmlns:c16r2="http://schemas.microsoft.com/office/drawing/2015/06/chart">
            <c:ext xmlns:c16="http://schemas.microsoft.com/office/drawing/2014/chart" uri="{C3380CC4-5D6E-409C-BE32-E72D297353CC}">
              <c16:uniqueId val="{00000002-0C86-462E-B434-4942AA931DD7}"/>
            </c:ext>
          </c:extLst>
        </c:ser>
        <c:dLbls>
          <c:showLegendKey val="0"/>
          <c:showVal val="0"/>
          <c:showCatName val="0"/>
          <c:showSerName val="0"/>
          <c:showPercent val="0"/>
          <c:showBubbleSize val="0"/>
        </c:dLbls>
        <c:marker val="1"/>
        <c:smooth val="0"/>
        <c:axId val="332030816"/>
        <c:axId val="379774864"/>
      </c:lineChart>
      <c:catAx>
        <c:axId val="33203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379774864"/>
        <c:crosses val="autoZero"/>
        <c:auto val="1"/>
        <c:lblAlgn val="ctr"/>
        <c:lblOffset val="100"/>
        <c:noMultiLvlLbl val="0"/>
      </c:catAx>
      <c:valAx>
        <c:axId val="3797748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32030816"/>
        <c:crosses val="autoZero"/>
        <c:crossBetween val="between"/>
      </c:valAx>
      <c:spPr>
        <a:noFill/>
        <a:ln>
          <a:noFill/>
        </a:ln>
        <a:effectLst/>
      </c:spPr>
    </c:plotArea>
    <c:legend>
      <c:legendPos val="b"/>
      <c:layout>
        <c:manualLayout>
          <c:xMode val="edge"/>
          <c:yMode val="edge"/>
          <c:x val="0.28731061312108958"/>
          <c:y val="0.92668839279270021"/>
          <c:w val="0.4234211215983561"/>
          <c:h val="6.554353849597957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a:t>
            </a:r>
            <a:r>
              <a:rPr lang="en-US" b="1" baseline="0"/>
              <a:t> Severity, P(FSI)</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76374991597949"/>
          <c:y val="0.15390797409300352"/>
          <c:w val="0.76784015751997203"/>
          <c:h val="0.54528141391051399"/>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Results!$B$24:$B$27</c:f>
              <c:strCache>
                <c:ptCount val="4"/>
                <c:pt idx="0">
                  <c:v>Conventional</c:v>
                </c:pt>
                <c:pt idx="1">
                  <c:v>Partial CFI</c:v>
                </c:pt>
                <c:pt idx="2">
                  <c:v>RCI</c:v>
                </c:pt>
                <c:pt idx="3">
                  <c:v>Two-phase MUT</c:v>
                </c:pt>
              </c:strCache>
            </c:strRef>
          </c:cat>
          <c:val>
            <c:numRef>
              <c:f>Results!$H$24:$H$27</c:f>
              <c:numCache>
                <c:formatCode>0.00</c:formatCode>
                <c:ptCount val="4"/>
                <c:pt idx="0">
                  <c:v>2.6818053976420545E-3</c:v>
                </c:pt>
                <c:pt idx="1">
                  <c:v>2.683738769075432E-3</c:v>
                </c:pt>
                <c:pt idx="2">
                  <c:v>4.8002292025053081E-3</c:v>
                </c:pt>
                <c:pt idx="3">
                  <c:v>3.5755232180880794E-3</c:v>
                </c:pt>
              </c:numCache>
            </c:numRef>
          </c:val>
          <c:smooth val="0"/>
          <c:extLst xmlns:c16r2="http://schemas.microsoft.com/office/drawing/2015/06/chart">
            <c:ext xmlns:c16="http://schemas.microsoft.com/office/drawing/2014/chart" uri="{C3380CC4-5D6E-409C-BE32-E72D297353CC}">
              <c16:uniqueId val="{00000000-5489-43B5-96CE-A318E1384BA9}"/>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Results!$B$24:$B$27</c:f>
              <c:strCache>
                <c:ptCount val="4"/>
                <c:pt idx="0">
                  <c:v>Conventional</c:v>
                </c:pt>
                <c:pt idx="1">
                  <c:v>Partial CFI</c:v>
                </c:pt>
                <c:pt idx="2">
                  <c:v>RCI</c:v>
                </c:pt>
                <c:pt idx="3">
                  <c:v>Two-phase MUT</c:v>
                </c:pt>
              </c:strCache>
            </c:strRef>
          </c:cat>
          <c:val>
            <c:numRef>
              <c:f>Results!$I$24:$I$27</c:f>
              <c:numCache>
                <c:formatCode>0.00</c:formatCode>
                <c:ptCount val="4"/>
                <c:pt idx="0">
                  <c:v>6.1337802805268137E-3</c:v>
                </c:pt>
                <c:pt idx="1">
                  <c:v>5.0690106147069352E-3</c:v>
                </c:pt>
                <c:pt idx="2">
                  <c:v>9.0983041575331304E-3</c:v>
                </c:pt>
                <c:pt idx="3">
                  <c:v>9.2841651828535748E-3</c:v>
                </c:pt>
              </c:numCache>
            </c:numRef>
          </c:val>
          <c:smooth val="0"/>
          <c:extLst xmlns:c16r2="http://schemas.microsoft.com/office/drawing/2015/06/chart">
            <c:ext xmlns:c16="http://schemas.microsoft.com/office/drawing/2014/chart" uri="{C3380CC4-5D6E-409C-BE32-E72D297353CC}">
              <c16:uniqueId val="{00000001-5489-43B5-96CE-A318E1384BA9}"/>
            </c:ext>
          </c:extLst>
        </c:ser>
        <c:dLbls>
          <c:showLegendKey val="0"/>
          <c:showVal val="0"/>
          <c:showCatName val="0"/>
          <c:showSerName val="0"/>
          <c:showPercent val="0"/>
          <c:showBubbleSize val="0"/>
        </c:dLbls>
        <c:marker val="1"/>
        <c:smooth val="0"/>
        <c:axId val="579854104"/>
        <c:axId val="579856064"/>
      </c:lineChart>
      <c:lineChart>
        <c:grouping val="standard"/>
        <c:varyColors val="0"/>
        <c:ser>
          <c:idx val="2"/>
          <c:order val="2"/>
          <c:tx>
            <c:v>Cross</c:v>
          </c:tx>
          <c:spPr>
            <a:ln w="28575" cap="rnd">
              <a:solidFill>
                <a:srgbClr val="FF0000"/>
              </a:solidFill>
              <a:round/>
            </a:ln>
            <a:effectLst/>
          </c:spPr>
          <c:marker>
            <c:symbol val="circle"/>
            <c:size val="5"/>
            <c:spPr>
              <a:solidFill>
                <a:srgbClr val="F3AFB1"/>
              </a:solidFill>
              <a:ln w="9525">
                <a:solidFill>
                  <a:srgbClr val="FF0000"/>
                </a:solidFill>
              </a:ln>
              <a:effectLst/>
            </c:spPr>
          </c:marker>
          <c:cat>
            <c:strRef>
              <c:f>Results!$B$24:$B$27</c:f>
              <c:strCache>
                <c:ptCount val="4"/>
                <c:pt idx="0">
                  <c:v>Conventional</c:v>
                </c:pt>
                <c:pt idx="1">
                  <c:v>Partial CFI</c:v>
                </c:pt>
                <c:pt idx="2">
                  <c:v>RCI</c:v>
                </c:pt>
                <c:pt idx="3">
                  <c:v>Two-phase MUT</c:v>
                </c:pt>
              </c:strCache>
            </c:strRef>
          </c:cat>
          <c:val>
            <c:numRef>
              <c:f>Results!$J$24:$J$27</c:f>
              <c:numCache>
                <c:formatCode>0.00</c:formatCode>
                <c:ptCount val="4"/>
                <c:pt idx="0">
                  <c:v>3.7879772717812232E-2</c:v>
                </c:pt>
                <c:pt idx="1">
                  <c:v>4.1171059676162761E-2</c:v>
                </c:pt>
                <c:pt idx="2">
                  <c:v>9.0589570857825777E-2</c:v>
                </c:pt>
                <c:pt idx="3">
                  <c:v>4.4878152490877538E-2</c:v>
                </c:pt>
              </c:numCache>
            </c:numRef>
          </c:val>
          <c:smooth val="0"/>
          <c:extLst xmlns:c16r2="http://schemas.microsoft.com/office/drawing/2015/06/chart">
            <c:ext xmlns:c16="http://schemas.microsoft.com/office/drawing/2014/chart" uri="{C3380CC4-5D6E-409C-BE32-E72D297353CC}">
              <c16:uniqueId val="{00000002-5489-43B5-96CE-A318E1384BA9}"/>
            </c:ext>
          </c:extLst>
        </c:ser>
        <c:dLbls>
          <c:showLegendKey val="0"/>
          <c:showVal val="0"/>
          <c:showCatName val="0"/>
          <c:showSerName val="0"/>
          <c:showPercent val="0"/>
          <c:showBubbleSize val="0"/>
        </c:dLbls>
        <c:marker val="1"/>
        <c:smooth val="0"/>
        <c:axId val="579854496"/>
        <c:axId val="579857240"/>
      </c:lineChart>
      <c:catAx>
        <c:axId val="579854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79856064"/>
        <c:crosses val="autoZero"/>
        <c:auto val="1"/>
        <c:lblAlgn val="ctr"/>
        <c:lblOffset val="100"/>
        <c:noMultiLvlLbl val="0"/>
      </c:catAx>
      <c:valAx>
        <c:axId val="579856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Diverge,</a:t>
                </a:r>
                <a:r>
                  <a:rPr lang="en-US" sz="900" b="1" baseline="0"/>
                  <a:t>  Merge</a:t>
                </a:r>
                <a:endParaRPr lang="en-US" sz="900" b="1"/>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79854104"/>
        <c:crosses val="autoZero"/>
        <c:crossBetween val="between"/>
      </c:valAx>
      <c:valAx>
        <c:axId val="579857240"/>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900" b="1"/>
                  <a:t>Cross</a:t>
                </a:r>
              </a:p>
            </c:rich>
          </c:tx>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79854496"/>
        <c:crosses val="max"/>
        <c:crossBetween val="between"/>
      </c:valAx>
      <c:catAx>
        <c:axId val="579854496"/>
        <c:scaling>
          <c:orientation val="minMax"/>
        </c:scaling>
        <c:delete val="1"/>
        <c:axPos val="b"/>
        <c:numFmt formatCode="General" sourceLinked="1"/>
        <c:majorTickMark val="out"/>
        <c:minorTickMark val="none"/>
        <c:tickLblPos val="nextTo"/>
        <c:crossAx val="579857240"/>
        <c:crosses val="autoZero"/>
        <c:auto val="1"/>
        <c:lblAlgn val="ctr"/>
        <c:lblOffset val="100"/>
        <c:noMultiLvlLbl val="0"/>
      </c:catAx>
      <c:spPr>
        <a:noFill/>
        <a:ln>
          <a:noFill/>
        </a:ln>
        <a:effectLst/>
      </c:spPr>
    </c:plotArea>
    <c:legend>
      <c:legendPos val="b"/>
      <c:layout>
        <c:manualLayout>
          <c:xMode val="edge"/>
          <c:yMode val="edge"/>
          <c:x val="0.27991935912542826"/>
          <c:y val="0.92668846294662965"/>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Average Complexity</a:t>
            </a:r>
            <a:r>
              <a:rPr lang="en-US" b="1" baseline="0"/>
              <a:t> Adjustment</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46779063915448E-2"/>
          <c:y val="0.14206562394976777"/>
          <c:w val="0.8969286084860234"/>
          <c:h val="0.56595011109794757"/>
        </c:manualLayout>
      </c:layout>
      <c:lineChart>
        <c:grouping val="standard"/>
        <c:varyColors val="0"/>
        <c:ser>
          <c:idx val="0"/>
          <c:order val="0"/>
          <c:tx>
            <c:v>Diverge</c:v>
          </c:tx>
          <c:spPr>
            <a:ln w="28575" cap="rnd">
              <a:solidFill>
                <a:schemeClr val="accent1"/>
              </a:solidFill>
              <a:round/>
            </a:ln>
            <a:effectLst/>
          </c:spPr>
          <c:marker>
            <c:symbol val="circle"/>
            <c:size val="5"/>
            <c:spPr>
              <a:solidFill>
                <a:schemeClr val="accent1">
                  <a:lumMod val="20000"/>
                  <a:lumOff val="80000"/>
                </a:schemeClr>
              </a:solidFill>
              <a:ln w="9525">
                <a:solidFill>
                  <a:schemeClr val="accent1"/>
                </a:solidFill>
              </a:ln>
              <a:effectLst/>
            </c:spPr>
          </c:marker>
          <c:cat>
            <c:strRef>
              <c:f>Results!$B$24:$B$27</c:f>
              <c:strCache>
                <c:ptCount val="4"/>
                <c:pt idx="0">
                  <c:v>Conventional</c:v>
                </c:pt>
                <c:pt idx="1">
                  <c:v>Partial CFI</c:v>
                </c:pt>
                <c:pt idx="2">
                  <c:v>RCI</c:v>
                </c:pt>
                <c:pt idx="3">
                  <c:v>Two-phase MUT</c:v>
                </c:pt>
              </c:strCache>
            </c:strRef>
          </c:cat>
          <c:val>
            <c:numRef>
              <c:f>Results!$L$24:$L$27</c:f>
              <c:numCache>
                <c:formatCode>0.00</c:formatCode>
                <c:ptCount val="4"/>
                <c:pt idx="0">
                  <c:v>1</c:v>
                </c:pt>
                <c:pt idx="1">
                  <c:v>1</c:v>
                </c:pt>
                <c:pt idx="2">
                  <c:v>1</c:v>
                </c:pt>
                <c:pt idx="3">
                  <c:v>1</c:v>
                </c:pt>
              </c:numCache>
            </c:numRef>
          </c:val>
          <c:smooth val="0"/>
          <c:extLst xmlns:c16r2="http://schemas.microsoft.com/office/drawing/2015/06/chart">
            <c:ext xmlns:c16="http://schemas.microsoft.com/office/drawing/2014/chart" uri="{C3380CC4-5D6E-409C-BE32-E72D297353CC}">
              <c16:uniqueId val="{00000000-BC35-4D27-991E-F4C53AA7C3B0}"/>
            </c:ext>
          </c:extLst>
        </c:ser>
        <c:ser>
          <c:idx val="1"/>
          <c:order val="1"/>
          <c:tx>
            <c:v>Merge</c:v>
          </c:tx>
          <c:spPr>
            <a:ln w="28575" cap="rnd">
              <a:solidFill>
                <a:schemeClr val="accent2"/>
              </a:solidFill>
              <a:round/>
            </a:ln>
            <a:effectLst/>
          </c:spPr>
          <c:marker>
            <c:symbol val="circle"/>
            <c:size val="5"/>
            <c:spPr>
              <a:solidFill>
                <a:schemeClr val="accent2">
                  <a:lumMod val="20000"/>
                  <a:lumOff val="80000"/>
                </a:schemeClr>
              </a:solidFill>
              <a:ln w="9525">
                <a:solidFill>
                  <a:schemeClr val="accent2"/>
                </a:solidFill>
              </a:ln>
              <a:effectLst/>
            </c:spPr>
          </c:marker>
          <c:cat>
            <c:strRef>
              <c:f>Results!$B$24:$B$27</c:f>
              <c:strCache>
                <c:ptCount val="4"/>
                <c:pt idx="0">
                  <c:v>Conventional</c:v>
                </c:pt>
                <c:pt idx="1">
                  <c:v>Partial CFI</c:v>
                </c:pt>
                <c:pt idx="2">
                  <c:v>RCI</c:v>
                </c:pt>
                <c:pt idx="3">
                  <c:v>Two-phase MUT</c:v>
                </c:pt>
              </c:strCache>
            </c:strRef>
          </c:cat>
          <c:val>
            <c:numRef>
              <c:f>Results!$M$24:$M$27</c:f>
              <c:numCache>
                <c:formatCode>0.00</c:formatCode>
                <c:ptCount val="4"/>
                <c:pt idx="0">
                  <c:v>1.5255208333333334</c:v>
                </c:pt>
                <c:pt idx="1">
                  <c:v>1.5255208333333332</c:v>
                </c:pt>
                <c:pt idx="2">
                  <c:v>0.7715277777777777</c:v>
                </c:pt>
                <c:pt idx="3">
                  <c:v>1.0520833333333333</c:v>
                </c:pt>
              </c:numCache>
            </c:numRef>
          </c:val>
          <c:smooth val="0"/>
          <c:extLst xmlns:c16r2="http://schemas.microsoft.com/office/drawing/2015/06/chart">
            <c:ext xmlns:c16="http://schemas.microsoft.com/office/drawing/2014/chart" uri="{C3380CC4-5D6E-409C-BE32-E72D297353CC}">
              <c16:uniqueId val="{00000001-BC35-4D27-991E-F4C53AA7C3B0}"/>
            </c:ext>
          </c:extLst>
        </c:ser>
        <c:ser>
          <c:idx val="2"/>
          <c:order val="2"/>
          <c:tx>
            <c:v>Cross</c:v>
          </c:tx>
          <c:spPr>
            <a:ln w="28575" cap="rnd">
              <a:solidFill>
                <a:srgbClr val="DE2226"/>
              </a:solidFill>
              <a:round/>
            </a:ln>
            <a:effectLst/>
          </c:spPr>
          <c:marker>
            <c:symbol val="circle"/>
            <c:size val="5"/>
            <c:spPr>
              <a:solidFill>
                <a:srgbClr val="ECB0FC"/>
              </a:solidFill>
              <a:ln w="9525">
                <a:solidFill>
                  <a:srgbClr val="DE2226"/>
                </a:solidFill>
              </a:ln>
              <a:effectLst/>
            </c:spPr>
          </c:marker>
          <c:cat>
            <c:strRef>
              <c:f>Results!$B$24:$B$27</c:f>
              <c:strCache>
                <c:ptCount val="4"/>
                <c:pt idx="0">
                  <c:v>Conventional</c:v>
                </c:pt>
                <c:pt idx="1">
                  <c:v>Partial CFI</c:v>
                </c:pt>
                <c:pt idx="2">
                  <c:v>RCI</c:v>
                </c:pt>
                <c:pt idx="3">
                  <c:v>Two-phase MUT</c:v>
                </c:pt>
              </c:strCache>
            </c:strRef>
          </c:cat>
          <c:val>
            <c:numRef>
              <c:f>Results!$N$24:$N$27</c:f>
              <c:numCache>
                <c:formatCode>0.00</c:formatCode>
                <c:ptCount val="4"/>
                <c:pt idx="0">
                  <c:v>1.65703125</c:v>
                </c:pt>
                <c:pt idx="1">
                  <c:v>1.7133928571428572</c:v>
                </c:pt>
                <c:pt idx="2">
                  <c:v>1.2625</c:v>
                </c:pt>
                <c:pt idx="3">
                  <c:v>1.6833333333333331</c:v>
                </c:pt>
              </c:numCache>
            </c:numRef>
          </c:val>
          <c:smooth val="0"/>
          <c:extLst xmlns:c16r2="http://schemas.microsoft.com/office/drawing/2015/06/chart">
            <c:ext xmlns:c16="http://schemas.microsoft.com/office/drawing/2014/chart" uri="{C3380CC4-5D6E-409C-BE32-E72D297353CC}">
              <c16:uniqueId val="{00000002-BC35-4D27-991E-F4C53AA7C3B0}"/>
            </c:ext>
          </c:extLst>
        </c:ser>
        <c:dLbls>
          <c:showLegendKey val="0"/>
          <c:showVal val="0"/>
          <c:showCatName val="0"/>
          <c:showSerName val="0"/>
          <c:showPercent val="0"/>
          <c:showBubbleSize val="0"/>
        </c:dLbls>
        <c:marker val="1"/>
        <c:smooth val="0"/>
        <c:axId val="579855280"/>
        <c:axId val="579856848"/>
      </c:lineChart>
      <c:catAx>
        <c:axId val="579855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79856848"/>
        <c:crosses val="autoZero"/>
        <c:auto val="1"/>
        <c:lblAlgn val="ctr"/>
        <c:lblOffset val="100"/>
        <c:noMultiLvlLbl val="0"/>
      </c:catAx>
      <c:valAx>
        <c:axId val="579856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79855280"/>
        <c:crosses val="autoZero"/>
        <c:crossBetween val="between"/>
      </c:valAx>
      <c:spPr>
        <a:noFill/>
        <a:ln>
          <a:noFill/>
        </a:ln>
        <a:effectLst/>
      </c:spPr>
    </c:plotArea>
    <c:legend>
      <c:legendPos val="b"/>
      <c:layout>
        <c:manualLayout>
          <c:xMode val="edge"/>
          <c:yMode val="edge"/>
          <c:x val="0.28731061312108958"/>
          <c:y val="0.92668839279270021"/>
          <c:w val="0.42607401933137556"/>
          <c:h val="6.53754910086355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3</xdr:row>
      <xdr:rowOff>44825</xdr:rowOff>
    </xdr:from>
    <xdr:to>
      <xdr:col>1</xdr:col>
      <xdr:colOff>5551768</xdr:colOff>
      <xdr:row>3</xdr:row>
      <xdr:rowOff>2902325</xdr:rowOff>
    </xdr:to>
    <xdr:pic>
      <xdr:nvPicPr>
        <xdr:cNvPr id="2" name="Picture 1">
          <a:extLst>
            <a:ext uri="{FF2B5EF4-FFF2-40B4-BE49-F238E27FC236}">
              <a16:creationId xmlns:a16="http://schemas.microsoft.com/office/drawing/2014/main" xmlns="" id="{8FE8D39C-986F-47BD-8D88-8A845B49B9D2}"/>
            </a:ext>
          </a:extLst>
        </xdr:cNvPr>
        <xdr:cNvPicPr>
          <a:picLocks noChangeAspect="1"/>
        </xdr:cNvPicPr>
      </xdr:nvPicPr>
      <xdr:blipFill>
        <a:blip xmlns:r="http://schemas.openxmlformats.org/officeDocument/2006/relationships" r:embed="rId1"/>
        <a:stretch>
          <a:fillRect/>
        </a:stretch>
      </xdr:blipFill>
      <xdr:spPr>
        <a:xfrm>
          <a:off x="2111749" y="616325"/>
          <a:ext cx="5506944" cy="2857500"/>
        </a:xfrm>
        <a:prstGeom prst="rect">
          <a:avLst/>
        </a:prstGeom>
        <a:ln>
          <a:solidFill>
            <a:schemeClr val="tx1"/>
          </a:solidFill>
        </a:ln>
      </xdr:spPr>
    </xdr:pic>
    <xdr:clientData/>
  </xdr:twoCellAnchor>
  <xdr:twoCellAnchor editAs="oneCell">
    <xdr:from>
      <xdr:col>1</xdr:col>
      <xdr:colOff>33618</xdr:colOff>
      <xdr:row>4</xdr:row>
      <xdr:rowOff>0</xdr:rowOff>
    </xdr:from>
    <xdr:to>
      <xdr:col>1</xdr:col>
      <xdr:colOff>5551768</xdr:colOff>
      <xdr:row>4</xdr:row>
      <xdr:rowOff>2891117</xdr:rowOff>
    </xdr:to>
    <xdr:pic>
      <xdr:nvPicPr>
        <xdr:cNvPr id="3" name="Picture 2">
          <a:extLst>
            <a:ext uri="{FF2B5EF4-FFF2-40B4-BE49-F238E27FC236}">
              <a16:creationId xmlns:a16="http://schemas.microsoft.com/office/drawing/2014/main" xmlns="" id="{27960770-845B-46BA-AD53-35B575E4780E}"/>
            </a:ext>
          </a:extLst>
        </xdr:cNvPr>
        <xdr:cNvPicPr>
          <a:picLocks noChangeAspect="1"/>
        </xdr:cNvPicPr>
      </xdr:nvPicPr>
      <xdr:blipFill>
        <a:blip xmlns:r="http://schemas.openxmlformats.org/officeDocument/2006/relationships" r:embed="rId2"/>
        <a:stretch>
          <a:fillRect/>
        </a:stretch>
      </xdr:blipFill>
      <xdr:spPr>
        <a:xfrm>
          <a:off x="2100543" y="3537137"/>
          <a:ext cx="5518150" cy="2891117"/>
        </a:xfrm>
        <a:prstGeom prst="rect">
          <a:avLst/>
        </a:prstGeom>
        <a:ln>
          <a:solidFill>
            <a:schemeClr val="tx1"/>
          </a:solidFill>
        </a:ln>
      </xdr:spPr>
    </xdr:pic>
    <xdr:clientData/>
  </xdr:twoCellAnchor>
  <xdr:twoCellAnchor editAs="oneCell">
    <xdr:from>
      <xdr:col>1</xdr:col>
      <xdr:colOff>22412</xdr:colOff>
      <xdr:row>4</xdr:row>
      <xdr:rowOff>22413</xdr:rowOff>
    </xdr:from>
    <xdr:to>
      <xdr:col>1</xdr:col>
      <xdr:colOff>5580530</xdr:colOff>
      <xdr:row>4</xdr:row>
      <xdr:rowOff>2902325</xdr:rowOff>
    </xdr:to>
    <xdr:pic>
      <xdr:nvPicPr>
        <xdr:cNvPr id="4" name="Picture 3">
          <a:extLst>
            <a:ext uri="{FF2B5EF4-FFF2-40B4-BE49-F238E27FC236}">
              <a16:creationId xmlns:a16="http://schemas.microsoft.com/office/drawing/2014/main" xmlns="" id="{87567760-6B4F-40EF-BC4B-9BD1D8AED314}"/>
            </a:ext>
          </a:extLst>
        </xdr:cNvPr>
        <xdr:cNvPicPr>
          <a:picLocks noChangeAspect="1"/>
        </xdr:cNvPicPr>
      </xdr:nvPicPr>
      <xdr:blipFill>
        <a:blip xmlns:r="http://schemas.openxmlformats.org/officeDocument/2006/relationships" r:embed="rId3"/>
        <a:stretch>
          <a:fillRect/>
        </a:stretch>
      </xdr:blipFill>
      <xdr:spPr>
        <a:xfrm>
          <a:off x="2089337" y="6480363"/>
          <a:ext cx="5558118" cy="2879912"/>
        </a:xfrm>
        <a:prstGeom prst="rect">
          <a:avLst/>
        </a:prstGeom>
        <a:ln>
          <a:solidFill>
            <a:schemeClr val="tx1"/>
          </a:solidFill>
        </a:ln>
      </xdr:spPr>
    </xdr:pic>
    <xdr:clientData/>
  </xdr:twoCellAnchor>
  <xdr:twoCellAnchor editAs="oneCell">
    <xdr:from>
      <xdr:col>1</xdr:col>
      <xdr:colOff>78441</xdr:colOff>
      <xdr:row>5</xdr:row>
      <xdr:rowOff>0</xdr:rowOff>
    </xdr:from>
    <xdr:to>
      <xdr:col>1</xdr:col>
      <xdr:colOff>5553262</xdr:colOff>
      <xdr:row>5</xdr:row>
      <xdr:rowOff>2829339</xdr:rowOff>
    </xdr:to>
    <xdr:pic>
      <xdr:nvPicPr>
        <xdr:cNvPr id="5" name="Picture 4">
          <a:extLst>
            <a:ext uri="{FF2B5EF4-FFF2-40B4-BE49-F238E27FC236}">
              <a16:creationId xmlns:a16="http://schemas.microsoft.com/office/drawing/2014/main" xmlns="" id="{20E019DB-CA7F-43B0-BAC4-5457D3084BE1}"/>
            </a:ext>
          </a:extLst>
        </xdr:cNvPr>
        <xdr:cNvPicPr>
          <a:picLocks noChangeAspect="1"/>
        </xdr:cNvPicPr>
      </xdr:nvPicPr>
      <xdr:blipFill>
        <a:blip xmlns:r="http://schemas.openxmlformats.org/officeDocument/2006/relationships" r:embed="rId4"/>
        <a:stretch>
          <a:fillRect/>
        </a:stretch>
      </xdr:blipFill>
      <xdr:spPr>
        <a:xfrm>
          <a:off x="2145366" y="12399829"/>
          <a:ext cx="5474821" cy="2829339"/>
        </a:xfrm>
        <a:prstGeom prst="rect">
          <a:avLst/>
        </a:prstGeom>
        <a:noFill/>
        <a:ln>
          <a:solidFill>
            <a:schemeClr val="tx1"/>
          </a:solidFill>
        </a:ln>
      </xdr:spPr>
    </xdr:pic>
    <xdr:clientData/>
  </xdr:twoCellAnchor>
  <xdr:twoCellAnchor editAs="oneCell">
    <xdr:from>
      <xdr:col>1</xdr:col>
      <xdr:colOff>56028</xdr:colOff>
      <xdr:row>5</xdr:row>
      <xdr:rowOff>0</xdr:rowOff>
    </xdr:from>
    <xdr:to>
      <xdr:col>1</xdr:col>
      <xdr:colOff>5553261</xdr:colOff>
      <xdr:row>5</xdr:row>
      <xdr:rowOff>2833058</xdr:rowOff>
    </xdr:to>
    <xdr:pic>
      <xdr:nvPicPr>
        <xdr:cNvPr id="6" name="Picture 5">
          <a:extLst>
            <a:ext uri="{FF2B5EF4-FFF2-40B4-BE49-F238E27FC236}">
              <a16:creationId xmlns:a16="http://schemas.microsoft.com/office/drawing/2014/main" xmlns="" id="{86CEDA29-BD35-4E90-AF57-9C092ACFFFEC}"/>
            </a:ext>
          </a:extLst>
        </xdr:cNvPr>
        <xdr:cNvPicPr>
          <a:picLocks noChangeAspect="1"/>
        </xdr:cNvPicPr>
      </xdr:nvPicPr>
      <xdr:blipFill>
        <a:blip xmlns:r="http://schemas.openxmlformats.org/officeDocument/2006/relationships" r:embed="rId5"/>
        <a:stretch>
          <a:fillRect/>
        </a:stretch>
      </xdr:blipFill>
      <xdr:spPr>
        <a:xfrm>
          <a:off x="2122953" y="21225786"/>
          <a:ext cx="5497233" cy="2833058"/>
        </a:xfrm>
        <a:prstGeom prst="rect">
          <a:avLst/>
        </a:prstGeom>
        <a:ln>
          <a:solidFill>
            <a:schemeClr val="tx1"/>
          </a:solidFill>
        </a:ln>
      </xdr:spPr>
    </xdr:pic>
    <xdr:clientData/>
  </xdr:twoCellAnchor>
  <xdr:twoCellAnchor editAs="oneCell">
    <xdr:from>
      <xdr:col>1</xdr:col>
      <xdr:colOff>53274</xdr:colOff>
      <xdr:row>5</xdr:row>
      <xdr:rowOff>0</xdr:rowOff>
    </xdr:from>
    <xdr:to>
      <xdr:col>1</xdr:col>
      <xdr:colOff>5551768</xdr:colOff>
      <xdr:row>5</xdr:row>
      <xdr:rowOff>2841437</xdr:rowOff>
    </xdr:to>
    <xdr:pic>
      <xdr:nvPicPr>
        <xdr:cNvPr id="7" name="Picture 6">
          <a:extLst>
            <a:ext uri="{FF2B5EF4-FFF2-40B4-BE49-F238E27FC236}">
              <a16:creationId xmlns:a16="http://schemas.microsoft.com/office/drawing/2014/main" xmlns="" id="{7329FBB7-B233-46BA-AA7C-865B635DE575}"/>
            </a:ext>
          </a:extLst>
        </xdr:cNvPr>
        <xdr:cNvPicPr>
          <a:picLocks noChangeAspect="1"/>
        </xdr:cNvPicPr>
      </xdr:nvPicPr>
      <xdr:blipFill>
        <a:blip xmlns:r="http://schemas.openxmlformats.org/officeDocument/2006/relationships" r:embed="rId6"/>
        <a:stretch>
          <a:fillRect/>
        </a:stretch>
      </xdr:blipFill>
      <xdr:spPr>
        <a:xfrm>
          <a:off x="2120199" y="24162125"/>
          <a:ext cx="5498494" cy="2841437"/>
        </a:xfrm>
        <a:prstGeom prst="rect">
          <a:avLst/>
        </a:prstGeom>
        <a:ln>
          <a:solidFill>
            <a:schemeClr val="tx1"/>
          </a:solidFill>
        </a:ln>
      </xdr:spPr>
    </xdr:pic>
    <xdr:clientData/>
  </xdr:twoCellAnchor>
  <xdr:twoCellAnchor editAs="oneCell">
    <xdr:from>
      <xdr:col>1</xdr:col>
      <xdr:colOff>67234</xdr:colOff>
      <xdr:row>5</xdr:row>
      <xdr:rowOff>0</xdr:rowOff>
    </xdr:from>
    <xdr:to>
      <xdr:col>1</xdr:col>
      <xdr:colOff>5551767</xdr:colOff>
      <xdr:row>5</xdr:row>
      <xdr:rowOff>2849294</xdr:rowOff>
    </xdr:to>
    <xdr:pic>
      <xdr:nvPicPr>
        <xdr:cNvPr id="8" name="Picture 7">
          <a:extLst>
            <a:ext uri="{FF2B5EF4-FFF2-40B4-BE49-F238E27FC236}">
              <a16:creationId xmlns:a16="http://schemas.microsoft.com/office/drawing/2014/main" xmlns="" id="{4F43D270-98D0-41BF-8147-9BDBA2A6C8CD}"/>
            </a:ext>
          </a:extLst>
        </xdr:cNvPr>
        <xdr:cNvPicPr>
          <a:picLocks noChangeAspect="1"/>
        </xdr:cNvPicPr>
      </xdr:nvPicPr>
      <xdr:blipFill>
        <a:blip xmlns:r="http://schemas.openxmlformats.org/officeDocument/2006/relationships" r:embed="rId7"/>
        <a:stretch>
          <a:fillRect/>
        </a:stretch>
      </xdr:blipFill>
      <xdr:spPr>
        <a:xfrm>
          <a:off x="2134159" y="32991799"/>
          <a:ext cx="5484533" cy="2849294"/>
        </a:xfrm>
        <a:prstGeom prst="rect">
          <a:avLst/>
        </a:prstGeom>
        <a:ln>
          <a:solidFill>
            <a:schemeClr val="tx1"/>
          </a:solidFill>
        </a:ln>
      </xdr:spPr>
    </xdr:pic>
    <xdr:clientData/>
  </xdr:twoCellAnchor>
  <xdr:twoCellAnchor editAs="oneCell">
    <xdr:from>
      <xdr:col>1</xdr:col>
      <xdr:colOff>67235</xdr:colOff>
      <xdr:row>5</xdr:row>
      <xdr:rowOff>0</xdr:rowOff>
    </xdr:from>
    <xdr:to>
      <xdr:col>1</xdr:col>
      <xdr:colOff>5553262</xdr:colOff>
      <xdr:row>5</xdr:row>
      <xdr:rowOff>2837626</xdr:rowOff>
    </xdr:to>
    <xdr:pic>
      <xdr:nvPicPr>
        <xdr:cNvPr id="9" name="Picture 8">
          <a:extLst>
            <a:ext uri="{FF2B5EF4-FFF2-40B4-BE49-F238E27FC236}">
              <a16:creationId xmlns:a16="http://schemas.microsoft.com/office/drawing/2014/main" xmlns="" id="{B25C92E3-2F21-46D1-937E-566B1409ABC0}"/>
            </a:ext>
          </a:extLst>
        </xdr:cNvPr>
        <xdr:cNvPicPr>
          <a:picLocks noChangeAspect="1"/>
        </xdr:cNvPicPr>
      </xdr:nvPicPr>
      <xdr:blipFill>
        <a:blip xmlns:r="http://schemas.openxmlformats.org/officeDocument/2006/relationships" r:embed="rId8"/>
        <a:stretch>
          <a:fillRect/>
        </a:stretch>
      </xdr:blipFill>
      <xdr:spPr>
        <a:xfrm>
          <a:off x="2134160" y="35937342"/>
          <a:ext cx="5486027" cy="2837626"/>
        </a:xfrm>
        <a:prstGeom prst="rect">
          <a:avLst/>
        </a:prstGeom>
        <a:ln>
          <a:solidFill>
            <a:schemeClr val="tx1"/>
          </a:solidFill>
        </a:ln>
      </xdr:spPr>
    </xdr:pic>
    <xdr:clientData/>
  </xdr:twoCellAnchor>
  <xdr:twoCellAnchor editAs="oneCell">
    <xdr:from>
      <xdr:col>1</xdr:col>
      <xdr:colOff>67235</xdr:colOff>
      <xdr:row>6</xdr:row>
      <xdr:rowOff>56030</xdr:rowOff>
    </xdr:from>
    <xdr:to>
      <xdr:col>1</xdr:col>
      <xdr:colOff>5551768</xdr:colOff>
      <xdr:row>6</xdr:row>
      <xdr:rowOff>2884767</xdr:rowOff>
    </xdr:to>
    <xdr:pic>
      <xdr:nvPicPr>
        <xdr:cNvPr id="10" name="Picture 9">
          <a:extLst>
            <a:ext uri="{FF2B5EF4-FFF2-40B4-BE49-F238E27FC236}">
              <a16:creationId xmlns:a16="http://schemas.microsoft.com/office/drawing/2014/main" xmlns="" id="{1F944B79-DD21-4165-AE9D-306D309A4073}"/>
            </a:ext>
          </a:extLst>
        </xdr:cNvPr>
        <xdr:cNvPicPr>
          <a:picLocks noChangeAspect="1"/>
        </xdr:cNvPicPr>
      </xdr:nvPicPr>
      <xdr:blipFill>
        <a:blip xmlns:r="http://schemas.openxmlformats.org/officeDocument/2006/relationships" r:embed="rId9"/>
        <a:stretch>
          <a:fillRect/>
        </a:stretch>
      </xdr:blipFill>
      <xdr:spPr>
        <a:xfrm>
          <a:off x="2134160" y="41832680"/>
          <a:ext cx="5484533" cy="2828737"/>
        </a:xfrm>
        <a:prstGeom prst="rect">
          <a:avLst/>
        </a:prstGeom>
        <a:ln>
          <a:solidFill>
            <a:schemeClr val="tx1"/>
          </a:solidFill>
        </a:ln>
      </xdr:spPr>
    </xdr:pic>
    <xdr:clientData/>
  </xdr:twoCellAnchor>
  <xdr:twoCellAnchor editAs="oneCell">
    <xdr:from>
      <xdr:col>1</xdr:col>
      <xdr:colOff>67236</xdr:colOff>
      <xdr:row>5</xdr:row>
      <xdr:rowOff>0</xdr:rowOff>
    </xdr:from>
    <xdr:to>
      <xdr:col>1</xdr:col>
      <xdr:colOff>5553262</xdr:colOff>
      <xdr:row>5</xdr:row>
      <xdr:rowOff>2832436</xdr:rowOff>
    </xdr:to>
    <xdr:pic>
      <xdr:nvPicPr>
        <xdr:cNvPr id="11" name="Picture 10">
          <a:extLst>
            <a:ext uri="{FF2B5EF4-FFF2-40B4-BE49-F238E27FC236}">
              <a16:creationId xmlns:a16="http://schemas.microsoft.com/office/drawing/2014/main" xmlns="" id="{3BF9FA41-F174-45B5-8399-37FB6D1F5E37}"/>
            </a:ext>
          </a:extLst>
        </xdr:cNvPr>
        <xdr:cNvPicPr>
          <a:picLocks noChangeAspect="1"/>
        </xdr:cNvPicPr>
      </xdr:nvPicPr>
      <xdr:blipFill>
        <a:blip xmlns:r="http://schemas.openxmlformats.org/officeDocument/2006/relationships" r:embed="rId10"/>
        <a:stretch>
          <a:fillRect/>
        </a:stretch>
      </xdr:blipFill>
      <xdr:spPr>
        <a:xfrm>
          <a:off x="2134161" y="15341452"/>
          <a:ext cx="5486026" cy="2832436"/>
        </a:xfrm>
        <a:prstGeom prst="rect">
          <a:avLst/>
        </a:prstGeom>
        <a:ln>
          <a:solidFill>
            <a:schemeClr val="tx1"/>
          </a:solidFill>
        </a:ln>
      </xdr:spPr>
    </xdr:pic>
    <xdr:clientData/>
  </xdr:twoCellAnchor>
  <xdr:twoCellAnchor editAs="oneCell">
    <xdr:from>
      <xdr:col>1</xdr:col>
      <xdr:colOff>44824</xdr:colOff>
      <xdr:row>5</xdr:row>
      <xdr:rowOff>0</xdr:rowOff>
    </xdr:from>
    <xdr:to>
      <xdr:col>1</xdr:col>
      <xdr:colOff>5546912</xdr:colOff>
      <xdr:row>5</xdr:row>
      <xdr:rowOff>2868707</xdr:rowOff>
    </xdr:to>
    <xdr:pic>
      <xdr:nvPicPr>
        <xdr:cNvPr id="12" name="Picture 11">
          <a:extLst>
            <a:ext uri="{FF2B5EF4-FFF2-40B4-BE49-F238E27FC236}">
              <a16:creationId xmlns:a16="http://schemas.microsoft.com/office/drawing/2014/main" xmlns="" id="{63DC39FD-009E-4B51-AA7B-619CB522F092}"/>
            </a:ext>
          </a:extLst>
        </xdr:cNvPr>
        <xdr:cNvPicPr>
          <a:picLocks noChangeAspect="1"/>
        </xdr:cNvPicPr>
      </xdr:nvPicPr>
      <xdr:blipFill>
        <a:blip xmlns:r="http://schemas.openxmlformats.org/officeDocument/2006/relationships" r:embed="rId11"/>
        <a:stretch>
          <a:fillRect/>
        </a:stretch>
      </xdr:blipFill>
      <xdr:spPr>
        <a:xfrm>
          <a:off x="2111749" y="27105347"/>
          <a:ext cx="5502088" cy="2868707"/>
        </a:xfrm>
        <a:prstGeom prst="rect">
          <a:avLst/>
        </a:prstGeom>
        <a:ln>
          <a:solidFill>
            <a:schemeClr val="tx1"/>
          </a:solidFill>
        </a:ln>
      </xdr:spPr>
    </xdr:pic>
    <xdr:clientData/>
  </xdr:twoCellAnchor>
  <xdr:twoCellAnchor editAs="oneCell">
    <xdr:from>
      <xdr:col>1</xdr:col>
      <xdr:colOff>67237</xdr:colOff>
      <xdr:row>5</xdr:row>
      <xdr:rowOff>0</xdr:rowOff>
    </xdr:from>
    <xdr:to>
      <xdr:col>1</xdr:col>
      <xdr:colOff>5546913</xdr:colOff>
      <xdr:row>5</xdr:row>
      <xdr:rowOff>2879912</xdr:rowOff>
    </xdr:to>
    <xdr:pic>
      <xdr:nvPicPr>
        <xdr:cNvPr id="13" name="Picture 12">
          <a:extLst>
            <a:ext uri="{FF2B5EF4-FFF2-40B4-BE49-F238E27FC236}">
              <a16:creationId xmlns:a16="http://schemas.microsoft.com/office/drawing/2014/main" xmlns="" id="{52194F4B-B48C-4F03-8222-1B9B178E505F}"/>
            </a:ext>
          </a:extLst>
        </xdr:cNvPr>
        <xdr:cNvPicPr>
          <a:picLocks noChangeAspect="1"/>
        </xdr:cNvPicPr>
      </xdr:nvPicPr>
      <xdr:blipFill>
        <a:blip xmlns:r="http://schemas.openxmlformats.org/officeDocument/2006/relationships" r:embed="rId12"/>
        <a:stretch>
          <a:fillRect/>
        </a:stretch>
      </xdr:blipFill>
      <xdr:spPr>
        <a:xfrm>
          <a:off x="2134162" y="30037367"/>
          <a:ext cx="5479676" cy="2879912"/>
        </a:xfrm>
        <a:prstGeom prst="rect">
          <a:avLst/>
        </a:prstGeom>
        <a:ln>
          <a:solidFill>
            <a:schemeClr val="tx1"/>
          </a:solidFill>
        </a:ln>
      </xdr:spPr>
    </xdr:pic>
    <xdr:clientData/>
  </xdr:twoCellAnchor>
  <xdr:twoCellAnchor editAs="oneCell">
    <xdr:from>
      <xdr:col>1</xdr:col>
      <xdr:colOff>36635</xdr:colOff>
      <xdr:row>5</xdr:row>
      <xdr:rowOff>0</xdr:rowOff>
    </xdr:from>
    <xdr:to>
      <xdr:col>1</xdr:col>
      <xdr:colOff>5565913</xdr:colOff>
      <xdr:row>5</xdr:row>
      <xdr:rowOff>2886808</xdr:rowOff>
    </xdr:to>
    <xdr:pic>
      <xdr:nvPicPr>
        <xdr:cNvPr id="14" name="Picture 13">
          <a:extLst>
            <a:ext uri="{FF2B5EF4-FFF2-40B4-BE49-F238E27FC236}">
              <a16:creationId xmlns:a16="http://schemas.microsoft.com/office/drawing/2014/main" xmlns="" id="{2B430EA7-B027-4FE0-868D-73A68BC49A4F}"/>
            </a:ext>
          </a:extLst>
        </xdr:cNvPr>
        <xdr:cNvPicPr>
          <a:picLocks noChangeAspect="1"/>
        </xdr:cNvPicPr>
      </xdr:nvPicPr>
      <xdr:blipFill>
        <a:blip xmlns:r="http://schemas.openxmlformats.org/officeDocument/2006/relationships" r:embed="rId13"/>
        <a:stretch>
          <a:fillRect/>
        </a:stretch>
      </xdr:blipFill>
      <xdr:spPr>
        <a:xfrm>
          <a:off x="2103560" y="9423156"/>
          <a:ext cx="5529278" cy="2886808"/>
        </a:xfrm>
        <a:prstGeom prst="rect">
          <a:avLst/>
        </a:prstGeom>
        <a:ln>
          <a:solidFill>
            <a:schemeClr val="tx1"/>
          </a:solidFill>
        </a:ln>
      </xdr:spPr>
    </xdr:pic>
    <xdr:clientData/>
  </xdr:twoCellAnchor>
  <xdr:twoCellAnchor editAs="oneCell">
    <xdr:from>
      <xdr:col>1</xdr:col>
      <xdr:colOff>49696</xdr:colOff>
      <xdr:row>5</xdr:row>
      <xdr:rowOff>24848</xdr:rowOff>
    </xdr:from>
    <xdr:to>
      <xdr:col>1</xdr:col>
      <xdr:colOff>5557631</xdr:colOff>
      <xdr:row>5</xdr:row>
      <xdr:rowOff>2898913</xdr:rowOff>
    </xdr:to>
    <xdr:pic>
      <xdr:nvPicPr>
        <xdr:cNvPr id="15" name="Picture 14">
          <a:extLst>
            <a:ext uri="{FF2B5EF4-FFF2-40B4-BE49-F238E27FC236}">
              <a16:creationId xmlns:a16="http://schemas.microsoft.com/office/drawing/2014/main" xmlns="" id="{1E74AB7B-F418-4AB1-B797-97CA3775C960}"/>
            </a:ext>
          </a:extLst>
        </xdr:cNvPr>
        <xdr:cNvPicPr>
          <a:picLocks noChangeAspect="1"/>
        </xdr:cNvPicPr>
      </xdr:nvPicPr>
      <xdr:blipFill>
        <a:blip xmlns:r="http://schemas.openxmlformats.org/officeDocument/2006/relationships" r:embed="rId14"/>
        <a:stretch>
          <a:fillRect/>
        </a:stretch>
      </xdr:blipFill>
      <xdr:spPr>
        <a:xfrm>
          <a:off x="2116621" y="38858273"/>
          <a:ext cx="5507935" cy="2874065"/>
        </a:xfrm>
        <a:prstGeom prst="rect">
          <a:avLst/>
        </a:prstGeom>
        <a:ln>
          <a:solidFill>
            <a:schemeClr val="tx1"/>
          </a:solidFill>
        </a:ln>
      </xdr:spPr>
    </xdr:pic>
    <xdr:clientData/>
  </xdr:twoCellAnchor>
  <xdr:twoCellAnchor editAs="oneCell">
    <xdr:from>
      <xdr:col>1</xdr:col>
      <xdr:colOff>57978</xdr:colOff>
      <xdr:row>5</xdr:row>
      <xdr:rowOff>0</xdr:rowOff>
    </xdr:from>
    <xdr:to>
      <xdr:col>1</xdr:col>
      <xdr:colOff>5557631</xdr:colOff>
      <xdr:row>5</xdr:row>
      <xdr:rowOff>2863362</xdr:rowOff>
    </xdr:to>
    <xdr:pic>
      <xdr:nvPicPr>
        <xdr:cNvPr id="16" name="Picture 15">
          <a:extLst>
            <a:ext uri="{FF2B5EF4-FFF2-40B4-BE49-F238E27FC236}">
              <a16:creationId xmlns:a16="http://schemas.microsoft.com/office/drawing/2014/main" xmlns="" id="{7E47B901-7F92-4FCB-9F38-57F5F2C6C896}"/>
            </a:ext>
          </a:extLst>
        </xdr:cNvPr>
        <xdr:cNvPicPr>
          <a:picLocks noChangeAspect="1"/>
        </xdr:cNvPicPr>
      </xdr:nvPicPr>
      <xdr:blipFill>
        <a:blip xmlns:r="http://schemas.openxmlformats.org/officeDocument/2006/relationships" r:embed="rId15"/>
        <a:stretch>
          <a:fillRect/>
        </a:stretch>
      </xdr:blipFill>
      <xdr:spPr>
        <a:xfrm>
          <a:off x="2124903" y="18274684"/>
          <a:ext cx="5499653" cy="2863362"/>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541884</xdr:colOff>
      <xdr:row>10</xdr:row>
      <xdr:rowOff>13606</xdr:rowOff>
    </xdr:from>
    <xdr:to>
      <xdr:col>14</xdr:col>
      <xdr:colOff>244927</xdr:colOff>
      <xdr:row>18</xdr:row>
      <xdr:rowOff>176891</xdr:rowOff>
    </xdr:to>
    <xdr:graphicFrame macro="">
      <xdr:nvGraphicFramePr>
        <xdr:cNvPr id="2" name="Chart 1">
          <a:extLst>
            <a:ext uri="{FF2B5EF4-FFF2-40B4-BE49-F238E27FC236}">
              <a16:creationId xmlns:a16="http://schemas.microsoft.com/office/drawing/2014/main" xmlns="" id="{A5612778-331A-4A04-A4C9-A0EE14EDB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590711</xdr:colOff>
      <xdr:row>0</xdr:row>
      <xdr:rowOff>186497</xdr:rowOff>
    </xdr:from>
    <xdr:to>
      <xdr:col>14</xdr:col>
      <xdr:colOff>231321</xdr:colOff>
      <xdr:row>9</xdr:row>
      <xdr:rowOff>27214</xdr:rowOff>
    </xdr:to>
    <xdr:graphicFrame macro="">
      <xdr:nvGraphicFramePr>
        <xdr:cNvPr id="11" name="Chart 10">
          <a:extLst>
            <a:ext uri="{FF2B5EF4-FFF2-40B4-BE49-F238E27FC236}">
              <a16:creationId xmlns:a16="http://schemas.microsoft.com/office/drawing/2014/main" xmlns="" id="{51946B89-DF85-4B46-8024-F4F6D3E826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399408</xdr:colOff>
      <xdr:row>10</xdr:row>
      <xdr:rowOff>13607</xdr:rowOff>
    </xdr:from>
    <xdr:to>
      <xdr:col>24</xdr:col>
      <xdr:colOff>163286</xdr:colOff>
      <xdr:row>18</xdr:row>
      <xdr:rowOff>163285</xdr:rowOff>
    </xdr:to>
    <xdr:graphicFrame macro="">
      <xdr:nvGraphicFramePr>
        <xdr:cNvPr id="12" name="Chart 11">
          <a:extLst>
            <a:ext uri="{FF2B5EF4-FFF2-40B4-BE49-F238E27FC236}">
              <a16:creationId xmlns:a16="http://schemas.microsoft.com/office/drawing/2014/main" xmlns="" id="{E7B30E7B-FFFE-4B5B-9A59-32B9847E8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132868</xdr:colOff>
      <xdr:row>21</xdr:row>
      <xdr:rowOff>29936</xdr:rowOff>
    </xdr:from>
    <xdr:to>
      <xdr:col>25</xdr:col>
      <xdr:colOff>258536</xdr:colOff>
      <xdr:row>31</xdr:row>
      <xdr:rowOff>136071</xdr:rowOff>
    </xdr:to>
    <xdr:graphicFrame macro="">
      <xdr:nvGraphicFramePr>
        <xdr:cNvPr id="13" name="Chart 12">
          <a:extLst>
            <a:ext uri="{FF2B5EF4-FFF2-40B4-BE49-F238E27FC236}">
              <a16:creationId xmlns:a16="http://schemas.microsoft.com/office/drawing/2014/main" xmlns="" id="{58B82673-3C9B-47FE-854A-2F84EE97D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437028</xdr:colOff>
      <xdr:row>21</xdr:row>
      <xdr:rowOff>22412</xdr:rowOff>
    </xdr:from>
    <xdr:to>
      <xdr:col>34</xdr:col>
      <xdr:colOff>312964</xdr:colOff>
      <xdr:row>31</xdr:row>
      <xdr:rowOff>122464</xdr:rowOff>
    </xdr:to>
    <xdr:graphicFrame macro="">
      <xdr:nvGraphicFramePr>
        <xdr:cNvPr id="14" name="Chart 13">
          <a:extLst>
            <a:ext uri="{FF2B5EF4-FFF2-40B4-BE49-F238E27FC236}">
              <a16:creationId xmlns:a16="http://schemas.microsoft.com/office/drawing/2014/main" xmlns="" id="{69CA5005-0E77-465C-BCB9-7E53BB0B5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55011</xdr:colOff>
      <xdr:row>21</xdr:row>
      <xdr:rowOff>27505</xdr:rowOff>
    </xdr:from>
    <xdr:to>
      <xdr:col>42</xdr:col>
      <xdr:colOff>544285</xdr:colOff>
      <xdr:row>31</xdr:row>
      <xdr:rowOff>108857</xdr:rowOff>
    </xdr:to>
    <xdr:graphicFrame macro="">
      <xdr:nvGraphicFramePr>
        <xdr:cNvPr id="16" name="Chart 15">
          <a:extLst>
            <a:ext uri="{FF2B5EF4-FFF2-40B4-BE49-F238E27FC236}">
              <a16:creationId xmlns:a16="http://schemas.microsoft.com/office/drawing/2014/main" xmlns="" id="{E83F7027-A8D9-4D3D-A8B0-70DF863F1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140366</xdr:colOff>
      <xdr:row>44</xdr:row>
      <xdr:rowOff>77205</xdr:rowOff>
    </xdr:from>
    <xdr:to>
      <xdr:col>12</xdr:col>
      <xdr:colOff>359175</xdr:colOff>
      <xdr:row>49</xdr:row>
      <xdr:rowOff>141549</xdr:rowOff>
    </xdr:to>
    <xdr:pic>
      <xdr:nvPicPr>
        <xdr:cNvPr id="2" name="Picture 1">
          <a:extLst>
            <a:ext uri="{FF2B5EF4-FFF2-40B4-BE49-F238E27FC236}">
              <a16:creationId xmlns:a16="http://schemas.microsoft.com/office/drawing/2014/main" xmlns="" id="{72D4790C-BAC3-4574-BB8E-C37A0F77D000}"/>
            </a:ext>
          </a:extLst>
        </xdr:cNvPr>
        <xdr:cNvPicPr>
          <a:picLocks noChangeAspect="1"/>
        </xdr:cNvPicPr>
      </xdr:nvPicPr>
      <xdr:blipFill>
        <a:blip xmlns:r="http://schemas.openxmlformats.org/officeDocument/2006/relationships" r:embed="rId1"/>
        <a:stretch>
          <a:fillRect/>
        </a:stretch>
      </xdr:blipFill>
      <xdr:spPr>
        <a:xfrm>
          <a:off x="4407566" y="8297280"/>
          <a:ext cx="3274093" cy="1034213"/>
        </a:xfrm>
        <a:prstGeom prst="rect">
          <a:avLst/>
        </a:prstGeom>
      </xdr:spPr>
    </xdr:pic>
    <xdr:clientData/>
  </xdr:twoCellAnchor>
  <xdr:twoCellAnchor editAs="oneCell">
    <xdr:from>
      <xdr:col>7</xdr:col>
      <xdr:colOff>118811</xdr:colOff>
      <xdr:row>54</xdr:row>
      <xdr:rowOff>37600</xdr:rowOff>
    </xdr:from>
    <xdr:to>
      <xdr:col>12</xdr:col>
      <xdr:colOff>589782</xdr:colOff>
      <xdr:row>60</xdr:row>
      <xdr:rowOff>86079</xdr:rowOff>
    </xdr:to>
    <xdr:pic>
      <xdr:nvPicPr>
        <xdr:cNvPr id="3" name="Picture 2">
          <a:extLst>
            <a:ext uri="{FF2B5EF4-FFF2-40B4-BE49-F238E27FC236}">
              <a16:creationId xmlns:a16="http://schemas.microsoft.com/office/drawing/2014/main" xmlns="" id="{758D30B4-C511-40DF-9960-3D077230DB60}"/>
            </a:ext>
          </a:extLst>
        </xdr:cNvPr>
        <xdr:cNvPicPr>
          <a:picLocks noChangeAspect="1"/>
        </xdr:cNvPicPr>
      </xdr:nvPicPr>
      <xdr:blipFill>
        <a:blip xmlns:r="http://schemas.openxmlformats.org/officeDocument/2006/relationships" r:embed="rId2"/>
        <a:stretch>
          <a:fillRect/>
        </a:stretch>
      </xdr:blipFill>
      <xdr:spPr>
        <a:xfrm>
          <a:off x="4386011" y="10238875"/>
          <a:ext cx="3526255" cy="1191479"/>
        </a:xfrm>
        <a:prstGeom prst="rect">
          <a:avLst/>
        </a:prstGeom>
      </xdr:spPr>
    </xdr:pic>
    <xdr:clientData/>
  </xdr:twoCellAnchor>
  <xdr:twoCellAnchor editAs="oneCell">
    <xdr:from>
      <xdr:col>14</xdr:col>
      <xdr:colOff>90237</xdr:colOff>
      <xdr:row>5</xdr:row>
      <xdr:rowOff>19050</xdr:rowOff>
    </xdr:from>
    <xdr:to>
      <xdr:col>19</xdr:col>
      <xdr:colOff>461210</xdr:colOff>
      <xdr:row>9</xdr:row>
      <xdr:rowOff>0</xdr:rowOff>
    </xdr:to>
    <xdr:pic>
      <xdr:nvPicPr>
        <xdr:cNvPr id="4" name="Picture 3">
          <a:extLst>
            <a:ext uri="{FF2B5EF4-FFF2-40B4-BE49-F238E27FC236}">
              <a16:creationId xmlns:a16="http://schemas.microsoft.com/office/drawing/2014/main" xmlns="" id="{7EADFBEE-B090-499B-9B67-6E3218C8EEFC}"/>
            </a:ext>
          </a:extLst>
        </xdr:cNvPr>
        <xdr:cNvPicPr>
          <a:picLocks noChangeAspect="1"/>
        </xdr:cNvPicPr>
      </xdr:nvPicPr>
      <xdr:blipFill>
        <a:blip xmlns:r="http://schemas.openxmlformats.org/officeDocument/2006/relationships" r:embed="rId3"/>
        <a:stretch>
          <a:fillRect/>
        </a:stretch>
      </xdr:blipFill>
      <xdr:spPr>
        <a:xfrm>
          <a:off x="8710362" y="990600"/>
          <a:ext cx="3418973" cy="742950"/>
        </a:xfrm>
        <a:prstGeom prst="rect">
          <a:avLst/>
        </a:prstGeom>
      </xdr:spPr>
    </xdr:pic>
    <xdr:clientData/>
  </xdr:twoCellAnchor>
  <xdr:twoCellAnchor editAs="oneCell">
    <xdr:from>
      <xdr:col>14</xdr:col>
      <xdr:colOff>70183</xdr:colOff>
      <xdr:row>32</xdr:row>
      <xdr:rowOff>30258</xdr:rowOff>
    </xdr:from>
    <xdr:to>
      <xdr:col>19</xdr:col>
      <xdr:colOff>551445</xdr:colOff>
      <xdr:row>36</xdr:row>
      <xdr:rowOff>10110</xdr:rowOff>
    </xdr:to>
    <xdr:pic>
      <xdr:nvPicPr>
        <xdr:cNvPr id="5" name="Picture 4">
          <a:extLst>
            <a:ext uri="{FF2B5EF4-FFF2-40B4-BE49-F238E27FC236}">
              <a16:creationId xmlns:a16="http://schemas.microsoft.com/office/drawing/2014/main" xmlns="" id="{ADA47BF7-1F34-48D5-9C91-C3681E82B8E4}"/>
            </a:ext>
          </a:extLst>
        </xdr:cNvPr>
        <xdr:cNvPicPr>
          <a:picLocks noChangeAspect="1"/>
        </xdr:cNvPicPr>
      </xdr:nvPicPr>
      <xdr:blipFill>
        <a:blip xmlns:r="http://schemas.openxmlformats.org/officeDocument/2006/relationships" r:embed="rId4"/>
        <a:stretch>
          <a:fillRect/>
        </a:stretch>
      </xdr:blipFill>
      <xdr:spPr>
        <a:xfrm>
          <a:off x="8754742" y="6316758"/>
          <a:ext cx="3506850" cy="764264"/>
        </a:xfrm>
        <a:prstGeom prst="rect">
          <a:avLst/>
        </a:prstGeom>
      </xdr:spPr>
    </xdr:pic>
    <xdr:clientData/>
  </xdr:twoCellAnchor>
  <xdr:twoCellAnchor editAs="oneCell">
    <xdr:from>
      <xdr:col>14</xdr:col>
      <xdr:colOff>90237</xdr:colOff>
      <xdr:row>80</xdr:row>
      <xdr:rowOff>20053</xdr:rowOff>
    </xdr:from>
    <xdr:to>
      <xdr:col>19</xdr:col>
      <xdr:colOff>401052</xdr:colOff>
      <xdr:row>84</xdr:row>
      <xdr:rowOff>77101</xdr:rowOff>
    </xdr:to>
    <xdr:pic>
      <xdr:nvPicPr>
        <xdr:cNvPr id="6" name="Picture 5">
          <a:extLst>
            <a:ext uri="{FF2B5EF4-FFF2-40B4-BE49-F238E27FC236}">
              <a16:creationId xmlns:a16="http://schemas.microsoft.com/office/drawing/2014/main" xmlns="" id="{58E8A05E-F031-4B2E-ACF2-D4C577CE27B1}"/>
            </a:ext>
          </a:extLst>
        </xdr:cNvPr>
        <xdr:cNvPicPr>
          <a:picLocks noChangeAspect="1"/>
        </xdr:cNvPicPr>
      </xdr:nvPicPr>
      <xdr:blipFill>
        <a:blip xmlns:r="http://schemas.openxmlformats.org/officeDocument/2006/relationships" r:embed="rId5"/>
        <a:stretch>
          <a:fillRect/>
        </a:stretch>
      </xdr:blipFill>
      <xdr:spPr>
        <a:xfrm>
          <a:off x="8710362" y="15050503"/>
          <a:ext cx="3358815" cy="819048"/>
        </a:xfrm>
        <a:prstGeom prst="rect">
          <a:avLst/>
        </a:prstGeom>
      </xdr:spPr>
    </xdr:pic>
    <xdr:clientData/>
  </xdr:twoCellAnchor>
  <xdr:twoCellAnchor editAs="oneCell">
    <xdr:from>
      <xdr:col>14</xdr:col>
      <xdr:colOff>50131</xdr:colOff>
      <xdr:row>90</xdr:row>
      <xdr:rowOff>189498</xdr:rowOff>
    </xdr:from>
    <xdr:to>
      <xdr:col>19</xdr:col>
      <xdr:colOff>541419</xdr:colOff>
      <xdr:row>95</xdr:row>
      <xdr:rowOff>56046</xdr:rowOff>
    </xdr:to>
    <xdr:pic>
      <xdr:nvPicPr>
        <xdr:cNvPr id="7" name="Picture 6">
          <a:extLst>
            <a:ext uri="{FF2B5EF4-FFF2-40B4-BE49-F238E27FC236}">
              <a16:creationId xmlns:a16="http://schemas.microsoft.com/office/drawing/2014/main" xmlns="" id="{B828A4CC-A2D3-41EF-AD21-AEF6DCE9236E}"/>
            </a:ext>
          </a:extLst>
        </xdr:cNvPr>
        <xdr:cNvPicPr>
          <a:picLocks noChangeAspect="1"/>
        </xdr:cNvPicPr>
      </xdr:nvPicPr>
      <xdr:blipFill>
        <a:blip xmlns:r="http://schemas.openxmlformats.org/officeDocument/2006/relationships" r:embed="rId6"/>
        <a:stretch>
          <a:fillRect/>
        </a:stretch>
      </xdr:blipFill>
      <xdr:spPr>
        <a:xfrm>
          <a:off x="8670256" y="17124948"/>
          <a:ext cx="3539288" cy="819048"/>
        </a:xfrm>
        <a:prstGeom prst="rect">
          <a:avLst/>
        </a:prstGeom>
      </xdr:spPr>
    </xdr:pic>
    <xdr:clientData/>
  </xdr:twoCellAnchor>
  <xdr:twoCellAnchor editAs="oneCell">
    <xdr:from>
      <xdr:col>14</xdr:col>
      <xdr:colOff>67825</xdr:colOff>
      <xdr:row>98</xdr:row>
      <xdr:rowOff>84605</xdr:rowOff>
    </xdr:from>
    <xdr:to>
      <xdr:col>19</xdr:col>
      <xdr:colOff>488929</xdr:colOff>
      <xdr:row>102</xdr:row>
      <xdr:rowOff>170223</xdr:rowOff>
    </xdr:to>
    <xdr:pic>
      <xdr:nvPicPr>
        <xdr:cNvPr id="8" name="Picture 7">
          <a:extLst>
            <a:ext uri="{FF2B5EF4-FFF2-40B4-BE49-F238E27FC236}">
              <a16:creationId xmlns:a16="http://schemas.microsoft.com/office/drawing/2014/main" xmlns="" id="{FE257E39-24C7-4AD5-8521-D6FAA9295FD6}"/>
            </a:ext>
          </a:extLst>
        </xdr:cNvPr>
        <xdr:cNvPicPr>
          <a:picLocks noChangeAspect="1"/>
        </xdr:cNvPicPr>
      </xdr:nvPicPr>
      <xdr:blipFill>
        <a:blip xmlns:r="http://schemas.openxmlformats.org/officeDocument/2006/relationships" r:embed="rId7"/>
        <a:stretch>
          <a:fillRect/>
        </a:stretch>
      </xdr:blipFill>
      <xdr:spPr>
        <a:xfrm>
          <a:off x="8752384" y="19157017"/>
          <a:ext cx="3446692" cy="847618"/>
        </a:xfrm>
        <a:prstGeom prst="rect">
          <a:avLst/>
        </a:prstGeom>
      </xdr:spPr>
    </xdr:pic>
    <xdr:clientData/>
  </xdr:twoCellAnchor>
  <xdr:twoCellAnchor editAs="oneCell">
    <xdr:from>
      <xdr:col>21</xdr:col>
      <xdr:colOff>28575</xdr:colOff>
      <xdr:row>5</xdr:row>
      <xdr:rowOff>28575</xdr:rowOff>
    </xdr:from>
    <xdr:to>
      <xdr:col>26</xdr:col>
      <xdr:colOff>581025</xdr:colOff>
      <xdr:row>11</xdr:row>
      <xdr:rowOff>95099</xdr:rowOff>
    </xdr:to>
    <xdr:pic>
      <xdr:nvPicPr>
        <xdr:cNvPr id="9" name="Picture 8">
          <a:extLst>
            <a:ext uri="{FF2B5EF4-FFF2-40B4-BE49-F238E27FC236}">
              <a16:creationId xmlns:a16="http://schemas.microsoft.com/office/drawing/2014/main" xmlns="" id="{F546B780-639A-4FBB-BB8B-2BA2098FE9C0}"/>
            </a:ext>
          </a:extLst>
        </xdr:cNvPr>
        <xdr:cNvPicPr>
          <a:picLocks noChangeAspect="1"/>
        </xdr:cNvPicPr>
      </xdr:nvPicPr>
      <xdr:blipFill>
        <a:blip xmlns:r="http://schemas.openxmlformats.org/officeDocument/2006/relationships" r:embed="rId8"/>
        <a:stretch>
          <a:fillRect/>
        </a:stretch>
      </xdr:blipFill>
      <xdr:spPr>
        <a:xfrm>
          <a:off x="13001625" y="1000125"/>
          <a:ext cx="3600451" cy="1209524"/>
        </a:xfrm>
        <a:prstGeom prst="rect">
          <a:avLst/>
        </a:prstGeom>
        <a:ln>
          <a:noFill/>
        </a:ln>
      </xdr:spPr>
    </xdr:pic>
    <xdr:clientData/>
  </xdr:twoCellAnchor>
  <xdr:twoCellAnchor editAs="oneCell">
    <xdr:from>
      <xdr:col>21</xdr:col>
      <xdr:colOff>19050</xdr:colOff>
      <xdr:row>12</xdr:row>
      <xdr:rowOff>47625</xdr:rowOff>
    </xdr:from>
    <xdr:to>
      <xdr:col>26</xdr:col>
      <xdr:colOff>581025</xdr:colOff>
      <xdr:row>16</xdr:row>
      <xdr:rowOff>132916</xdr:rowOff>
    </xdr:to>
    <xdr:pic>
      <xdr:nvPicPr>
        <xdr:cNvPr id="10" name="Picture 9">
          <a:extLst>
            <a:ext uri="{FF2B5EF4-FFF2-40B4-BE49-F238E27FC236}">
              <a16:creationId xmlns:a16="http://schemas.microsoft.com/office/drawing/2014/main" xmlns="" id="{1D89CD7E-74F8-425F-BC69-63FA94F462C9}"/>
            </a:ext>
          </a:extLst>
        </xdr:cNvPr>
        <xdr:cNvPicPr>
          <a:picLocks noChangeAspect="1"/>
        </xdr:cNvPicPr>
      </xdr:nvPicPr>
      <xdr:blipFill>
        <a:blip xmlns:r="http://schemas.openxmlformats.org/officeDocument/2006/relationships" r:embed="rId9"/>
        <a:stretch>
          <a:fillRect/>
        </a:stretch>
      </xdr:blipFill>
      <xdr:spPr>
        <a:xfrm>
          <a:off x="12992100" y="2362200"/>
          <a:ext cx="3609976" cy="874185"/>
        </a:xfrm>
        <a:prstGeom prst="rect">
          <a:avLst/>
        </a:prstGeom>
      </xdr:spPr>
    </xdr:pic>
    <xdr:clientData/>
  </xdr:twoCellAnchor>
  <xdr:twoCellAnchor editAs="oneCell">
    <xdr:from>
      <xdr:col>21</xdr:col>
      <xdr:colOff>50131</xdr:colOff>
      <xdr:row>23</xdr:row>
      <xdr:rowOff>27572</xdr:rowOff>
    </xdr:from>
    <xdr:to>
      <xdr:col>26</xdr:col>
      <xdr:colOff>551447</xdr:colOff>
      <xdr:row>27</xdr:row>
      <xdr:rowOff>49463</xdr:rowOff>
    </xdr:to>
    <xdr:pic>
      <xdr:nvPicPr>
        <xdr:cNvPr id="11" name="Picture 10">
          <a:extLst>
            <a:ext uri="{FF2B5EF4-FFF2-40B4-BE49-F238E27FC236}">
              <a16:creationId xmlns:a16="http://schemas.microsoft.com/office/drawing/2014/main" xmlns="" id="{19975FAF-5F13-4025-B679-5EF8D4CF026F}"/>
            </a:ext>
          </a:extLst>
        </xdr:cNvPr>
        <xdr:cNvPicPr>
          <a:picLocks noChangeAspect="1"/>
        </xdr:cNvPicPr>
      </xdr:nvPicPr>
      <xdr:blipFill>
        <a:blip xmlns:r="http://schemas.openxmlformats.org/officeDocument/2006/relationships" r:embed="rId10"/>
        <a:stretch>
          <a:fillRect/>
        </a:stretch>
      </xdr:blipFill>
      <xdr:spPr>
        <a:xfrm>
          <a:off x="13023181" y="4532897"/>
          <a:ext cx="3549317" cy="812465"/>
        </a:xfrm>
        <a:prstGeom prst="rect">
          <a:avLst/>
        </a:prstGeom>
      </xdr:spPr>
    </xdr:pic>
    <xdr:clientData/>
  </xdr:twoCellAnchor>
  <xdr:twoCellAnchor editAs="oneCell">
    <xdr:from>
      <xdr:col>7</xdr:col>
      <xdr:colOff>30079</xdr:colOff>
      <xdr:row>64</xdr:row>
      <xdr:rowOff>130342</xdr:rowOff>
    </xdr:from>
    <xdr:to>
      <xdr:col>12</xdr:col>
      <xdr:colOff>629888</xdr:colOff>
      <xdr:row>70</xdr:row>
      <xdr:rowOff>166285</xdr:rowOff>
    </xdr:to>
    <xdr:pic>
      <xdr:nvPicPr>
        <xdr:cNvPr id="12" name="Picture 11">
          <a:extLst>
            <a:ext uri="{FF2B5EF4-FFF2-40B4-BE49-F238E27FC236}">
              <a16:creationId xmlns:a16="http://schemas.microsoft.com/office/drawing/2014/main" xmlns="" id="{0AB3C467-5A50-4B30-98B2-15B0775787BC}"/>
            </a:ext>
          </a:extLst>
        </xdr:cNvPr>
        <xdr:cNvPicPr>
          <a:picLocks noChangeAspect="1"/>
        </xdr:cNvPicPr>
      </xdr:nvPicPr>
      <xdr:blipFill>
        <a:blip xmlns:r="http://schemas.openxmlformats.org/officeDocument/2006/relationships" r:embed="rId11"/>
        <a:stretch>
          <a:fillRect/>
        </a:stretch>
      </xdr:blipFill>
      <xdr:spPr>
        <a:xfrm>
          <a:off x="4297279" y="12246142"/>
          <a:ext cx="3655093" cy="1217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37117</xdr:colOff>
      <xdr:row>11</xdr:row>
      <xdr:rowOff>223967</xdr:rowOff>
    </xdr:from>
    <xdr:to>
      <xdr:col>8</xdr:col>
      <xdr:colOff>935182</xdr:colOff>
      <xdr:row>26</xdr:row>
      <xdr:rowOff>217715</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4557162" y="2908285"/>
          <a:ext cx="5192974" cy="3699839"/>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34637</xdr:colOff>
      <xdr:row>9</xdr:row>
      <xdr:rowOff>207818</xdr:rowOff>
    </xdr:from>
    <xdr:to>
      <xdr:col>8</xdr:col>
      <xdr:colOff>821715</xdr:colOff>
      <xdr:row>27</xdr:row>
      <xdr:rowOff>78400</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5351319" y="2978727"/>
          <a:ext cx="6450123" cy="4321355"/>
        </a:xfrm>
        <a:prstGeom prst="rect">
          <a:avLst/>
        </a:prstGeom>
        <a:ln>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853205</xdr:colOff>
      <xdr:row>11</xdr:row>
      <xdr:rowOff>34638</xdr:rowOff>
    </xdr:from>
    <xdr:to>
      <xdr:col>9</xdr:col>
      <xdr:colOff>1601</xdr:colOff>
      <xdr:row>27</xdr:row>
      <xdr:rowOff>19125</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4922978" y="2718956"/>
          <a:ext cx="5236974" cy="3690578"/>
        </a:xfrm>
        <a:prstGeom prst="rect">
          <a:avLst/>
        </a:prstGeom>
        <a:ln>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759286</xdr:colOff>
      <xdr:row>11</xdr:row>
      <xdr:rowOff>40821</xdr:rowOff>
    </xdr:from>
    <xdr:to>
      <xdr:col>8</xdr:col>
      <xdr:colOff>750629</xdr:colOff>
      <xdr:row>27</xdr:row>
      <xdr:rowOff>31079</xdr:rowOff>
    </xdr:to>
    <xdr:pic>
      <xdr:nvPicPr>
        <xdr:cNvPr id="2" name="Picture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60429" y="2721428"/>
          <a:ext cx="5226382" cy="3691401"/>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2"/>
  <sheetViews>
    <sheetView topLeftCell="A10" zoomScale="70" zoomScaleNormal="70" workbookViewId="0">
      <selection activeCell="J53" sqref="J53"/>
    </sheetView>
  </sheetViews>
  <sheetFormatPr defaultColWidth="9.140625" defaultRowHeight="15" x14ac:dyDescent="0.25"/>
  <cols>
    <col min="1" max="1" width="6.140625" style="9" customWidth="1"/>
    <col min="2" max="20" width="9.140625" style="9"/>
    <col min="21" max="21" width="5.140625" style="9" customWidth="1"/>
    <col min="22" max="22" width="5.42578125" style="9" customWidth="1"/>
    <col min="23" max="16384" width="9.140625" style="9"/>
  </cols>
  <sheetData>
    <row r="1" spans="2:31" x14ac:dyDescent="0.25">
      <c r="AE1" s="40"/>
    </row>
    <row r="2" spans="2:31" ht="15.75" thickBot="1" x14ac:dyDescent="0.3">
      <c r="AE2" s="40"/>
    </row>
    <row r="3" spans="2:31" ht="15.75" thickBot="1" x14ac:dyDescent="0.3">
      <c r="B3" s="435" t="s">
        <v>390</v>
      </c>
      <c r="C3" s="436"/>
      <c r="D3" s="436"/>
      <c r="E3" s="436"/>
      <c r="F3" s="436"/>
      <c r="G3" s="436"/>
      <c r="H3" s="436"/>
      <c r="I3" s="436"/>
      <c r="J3" s="436"/>
      <c r="K3" s="436"/>
      <c r="L3" s="436"/>
      <c r="M3" s="436"/>
      <c r="N3" s="436"/>
      <c r="O3" s="436"/>
      <c r="P3" s="436"/>
      <c r="Q3" s="436"/>
      <c r="R3" s="436"/>
      <c r="S3" s="436"/>
      <c r="T3" s="437"/>
      <c r="AE3" s="40"/>
    </row>
    <row r="4" spans="2:31" x14ac:dyDescent="0.25">
      <c r="I4" s="17"/>
      <c r="AE4" s="40"/>
    </row>
    <row r="5" spans="2:31" x14ac:dyDescent="0.25">
      <c r="B5" s="402" t="s">
        <v>60</v>
      </c>
      <c r="W5" s="403" t="s">
        <v>64</v>
      </c>
      <c r="AE5" s="40"/>
    </row>
    <row r="6" spans="2:31" ht="15" customHeight="1" x14ac:dyDescent="0.25">
      <c r="B6" s="441" t="s">
        <v>404</v>
      </c>
      <c r="C6" s="441"/>
      <c r="D6" s="441"/>
      <c r="E6" s="441"/>
      <c r="F6" s="441"/>
      <c r="G6" s="441"/>
      <c r="H6" s="441"/>
      <c r="I6" s="441"/>
      <c r="J6" s="441"/>
      <c r="K6" s="441"/>
      <c r="L6" s="441"/>
      <c r="M6" s="441"/>
      <c r="N6" s="441"/>
      <c r="O6" s="441"/>
      <c r="P6" s="441"/>
      <c r="Q6" s="441"/>
      <c r="R6" s="441"/>
      <c r="S6" s="441"/>
      <c r="T6" s="441"/>
      <c r="U6" s="404"/>
      <c r="W6" s="442" t="s">
        <v>357</v>
      </c>
      <c r="X6" s="442"/>
      <c r="Y6" s="442"/>
      <c r="Z6" s="442"/>
      <c r="AA6" s="442"/>
      <c r="AB6" s="442"/>
      <c r="AC6" s="442"/>
      <c r="AE6" s="40"/>
    </row>
    <row r="7" spans="2:31" x14ac:dyDescent="0.25">
      <c r="B7" s="441"/>
      <c r="C7" s="441"/>
      <c r="D7" s="441"/>
      <c r="E7" s="441"/>
      <c r="F7" s="441"/>
      <c r="G7" s="441"/>
      <c r="H7" s="441"/>
      <c r="I7" s="441"/>
      <c r="J7" s="441"/>
      <c r="K7" s="441"/>
      <c r="L7" s="441"/>
      <c r="M7" s="441"/>
      <c r="N7" s="441"/>
      <c r="O7" s="441"/>
      <c r="P7" s="441"/>
      <c r="Q7" s="441"/>
      <c r="R7" s="441"/>
      <c r="S7" s="441"/>
      <c r="T7" s="441"/>
      <c r="U7" s="404"/>
      <c r="W7" s="442"/>
      <c r="X7" s="442"/>
      <c r="Y7" s="442"/>
      <c r="Z7" s="442"/>
      <c r="AA7" s="442"/>
      <c r="AB7" s="442"/>
      <c r="AC7" s="442"/>
      <c r="AE7" s="40"/>
    </row>
    <row r="8" spans="2:31" x14ac:dyDescent="0.25">
      <c r="B8" s="441"/>
      <c r="C8" s="441"/>
      <c r="D8" s="441"/>
      <c r="E8" s="441"/>
      <c r="F8" s="441"/>
      <c r="G8" s="441"/>
      <c r="H8" s="441"/>
      <c r="I8" s="441"/>
      <c r="J8" s="441"/>
      <c r="K8" s="441"/>
      <c r="L8" s="441"/>
      <c r="M8" s="441"/>
      <c r="N8" s="441"/>
      <c r="O8" s="441"/>
      <c r="P8" s="441"/>
      <c r="Q8" s="441"/>
      <c r="R8" s="441"/>
      <c r="S8" s="441"/>
      <c r="T8" s="441"/>
      <c r="U8" s="404"/>
      <c r="W8" s="442"/>
      <c r="X8" s="442"/>
      <c r="Y8" s="442"/>
      <c r="Z8" s="442"/>
      <c r="AA8" s="442"/>
      <c r="AB8" s="442"/>
      <c r="AC8" s="442"/>
      <c r="AE8" s="40"/>
    </row>
    <row r="9" spans="2:31" x14ac:dyDescent="0.25">
      <c r="B9" s="441"/>
      <c r="C9" s="441"/>
      <c r="D9" s="441"/>
      <c r="E9" s="441"/>
      <c r="F9" s="441"/>
      <c r="G9" s="441"/>
      <c r="H9" s="441"/>
      <c r="I9" s="441"/>
      <c r="J9" s="441"/>
      <c r="K9" s="441"/>
      <c r="L9" s="441"/>
      <c r="M9" s="441"/>
      <c r="N9" s="441"/>
      <c r="O9" s="441"/>
      <c r="P9" s="441"/>
      <c r="Q9" s="441"/>
      <c r="R9" s="441"/>
      <c r="S9" s="441"/>
      <c r="T9" s="441"/>
      <c r="U9" s="404"/>
      <c r="AE9" s="40"/>
    </row>
    <row r="10" spans="2:31" x14ac:dyDescent="0.25">
      <c r="W10" s="403" t="s">
        <v>65</v>
      </c>
      <c r="Y10" s="403" t="s">
        <v>76</v>
      </c>
      <c r="AE10" s="40"/>
    </row>
    <row r="11" spans="2:31" ht="15" customHeight="1" x14ac:dyDescent="0.25">
      <c r="B11" s="441" t="s">
        <v>385</v>
      </c>
      <c r="C11" s="441"/>
      <c r="D11" s="441"/>
      <c r="E11" s="441"/>
      <c r="F11" s="441"/>
      <c r="G11" s="441"/>
      <c r="H11" s="441"/>
      <c r="I11" s="441"/>
      <c r="J11" s="441"/>
      <c r="K11" s="441"/>
      <c r="L11" s="441"/>
      <c r="M11" s="441"/>
      <c r="N11" s="441"/>
      <c r="O11" s="441"/>
      <c r="P11" s="441"/>
      <c r="Q11" s="441"/>
      <c r="R11" s="441"/>
      <c r="S11" s="441"/>
      <c r="T11" s="441"/>
      <c r="U11" s="401"/>
      <c r="AE11" s="40"/>
    </row>
    <row r="12" spans="2:31" x14ac:dyDescent="0.25">
      <c r="B12" s="441"/>
      <c r="C12" s="441"/>
      <c r="D12" s="441"/>
      <c r="E12" s="441"/>
      <c r="F12" s="441"/>
      <c r="G12" s="441"/>
      <c r="H12" s="441"/>
      <c r="I12" s="441"/>
      <c r="J12" s="441"/>
      <c r="K12" s="441"/>
      <c r="L12" s="441"/>
      <c r="M12" s="441"/>
      <c r="N12" s="441"/>
      <c r="O12" s="441"/>
      <c r="P12" s="441"/>
      <c r="Q12" s="441"/>
      <c r="R12" s="441"/>
      <c r="S12" s="441"/>
      <c r="T12" s="441"/>
      <c r="U12" s="401"/>
      <c r="W12" s="12"/>
      <c r="Y12" s="442" t="s">
        <v>358</v>
      </c>
      <c r="Z12" s="442"/>
      <c r="AA12" s="442"/>
      <c r="AB12" s="442"/>
      <c r="AC12" s="442"/>
      <c r="AD12" s="442"/>
      <c r="AE12" s="446"/>
    </row>
    <row r="13" spans="2:31" x14ac:dyDescent="0.25">
      <c r="B13" s="441"/>
      <c r="C13" s="441"/>
      <c r="D13" s="441"/>
      <c r="E13" s="441"/>
      <c r="F13" s="441"/>
      <c r="G13" s="441"/>
      <c r="H13" s="441"/>
      <c r="I13" s="441"/>
      <c r="J13" s="441"/>
      <c r="K13" s="441"/>
      <c r="L13" s="441"/>
      <c r="M13" s="441"/>
      <c r="N13" s="441"/>
      <c r="O13" s="441"/>
      <c r="P13" s="441"/>
      <c r="Q13" s="441"/>
      <c r="R13" s="441"/>
      <c r="S13" s="441"/>
      <c r="T13" s="441"/>
      <c r="U13" s="401"/>
      <c r="W13" s="13"/>
      <c r="Y13" s="442"/>
      <c r="Z13" s="442"/>
      <c r="AA13" s="442"/>
      <c r="AB13" s="442"/>
      <c r="AC13" s="442"/>
      <c r="AD13" s="442"/>
      <c r="AE13" s="446"/>
    </row>
    <row r="14" spans="2:31" x14ac:dyDescent="0.25">
      <c r="B14" s="441"/>
      <c r="C14" s="441"/>
      <c r="D14" s="441"/>
      <c r="E14" s="441"/>
      <c r="F14" s="441"/>
      <c r="G14" s="441"/>
      <c r="H14" s="441"/>
      <c r="I14" s="441"/>
      <c r="J14" s="441"/>
      <c r="K14" s="441"/>
      <c r="L14" s="441"/>
      <c r="M14" s="441"/>
      <c r="N14" s="441"/>
      <c r="O14" s="441"/>
      <c r="P14" s="441"/>
      <c r="Q14" s="441"/>
      <c r="R14" s="441"/>
      <c r="S14" s="441"/>
      <c r="T14" s="441"/>
      <c r="U14" s="401"/>
      <c r="AE14" s="40"/>
    </row>
    <row r="15" spans="2:31" ht="15" customHeight="1" x14ac:dyDescent="0.25">
      <c r="B15" s="441"/>
      <c r="C15" s="441"/>
      <c r="D15" s="441"/>
      <c r="E15" s="441"/>
      <c r="F15" s="441"/>
      <c r="G15" s="441"/>
      <c r="H15" s="441"/>
      <c r="I15" s="441"/>
      <c r="J15" s="441"/>
      <c r="K15" s="441"/>
      <c r="L15" s="441"/>
      <c r="M15" s="441"/>
      <c r="N15" s="441"/>
      <c r="O15" s="441"/>
      <c r="P15" s="441"/>
      <c r="Q15" s="441"/>
      <c r="R15" s="441"/>
      <c r="S15" s="441"/>
      <c r="T15" s="441"/>
      <c r="W15" s="14"/>
      <c r="Y15" s="442" t="s">
        <v>74</v>
      </c>
      <c r="Z15" s="442"/>
      <c r="AA15" s="442"/>
      <c r="AB15" s="442"/>
      <c r="AC15" s="442"/>
      <c r="AD15" s="442"/>
      <c r="AE15" s="40"/>
    </row>
    <row r="16" spans="2:31" ht="12.75" customHeight="1" x14ac:dyDescent="0.25">
      <c r="B16" s="443" t="s">
        <v>89</v>
      </c>
      <c r="C16" s="443"/>
      <c r="D16" s="443"/>
      <c r="E16" s="443"/>
      <c r="F16" s="443"/>
      <c r="G16" s="443"/>
      <c r="H16" s="443"/>
      <c r="I16" s="443"/>
      <c r="J16" s="443"/>
      <c r="K16" s="443"/>
      <c r="L16" s="443"/>
      <c r="M16" s="443"/>
      <c r="N16" s="443"/>
      <c r="O16" s="443"/>
      <c r="P16" s="443"/>
      <c r="Q16" s="443"/>
      <c r="R16" s="443"/>
      <c r="S16" s="443"/>
      <c r="T16" s="443"/>
      <c r="U16" s="16"/>
      <c r="W16" s="15"/>
      <c r="Y16" s="442"/>
      <c r="Z16" s="442"/>
      <c r="AA16" s="442"/>
      <c r="AB16" s="442"/>
      <c r="AC16" s="442"/>
      <c r="AD16" s="442"/>
      <c r="AE16" s="40"/>
    </row>
    <row r="17" spans="2:31" x14ac:dyDescent="0.25">
      <c r="B17" s="443"/>
      <c r="C17" s="443"/>
      <c r="D17" s="443"/>
      <c r="E17" s="443"/>
      <c r="F17" s="443"/>
      <c r="G17" s="443"/>
      <c r="H17" s="443"/>
      <c r="I17" s="443"/>
      <c r="J17" s="443"/>
      <c r="K17" s="443"/>
      <c r="L17" s="443"/>
      <c r="M17" s="443"/>
      <c r="N17" s="443"/>
      <c r="O17" s="443"/>
      <c r="P17" s="443"/>
      <c r="Q17" s="443"/>
      <c r="R17" s="443"/>
      <c r="S17" s="443"/>
      <c r="T17" s="443"/>
      <c r="U17" s="16"/>
      <c r="Y17" s="405"/>
      <c r="Z17" s="405"/>
      <c r="AA17" s="405"/>
      <c r="AB17" s="405"/>
      <c r="AE17" s="40"/>
    </row>
    <row r="18" spans="2:31" ht="15" customHeight="1" x14ac:dyDescent="0.25">
      <c r="W18" s="49"/>
      <c r="Y18" s="406" t="s">
        <v>354</v>
      </c>
      <c r="Z18" s="405"/>
      <c r="AA18" s="405"/>
      <c r="AB18" s="405"/>
      <c r="AE18" s="40"/>
    </row>
    <row r="19" spans="2:31" x14ac:dyDescent="0.25">
      <c r="B19" s="402" t="s">
        <v>61</v>
      </c>
      <c r="E19" s="402" t="s">
        <v>63</v>
      </c>
      <c r="W19" s="50"/>
      <c r="Y19" s="405"/>
      <c r="Z19" s="405"/>
      <c r="AA19" s="405"/>
      <c r="AB19" s="405"/>
      <c r="AE19" s="40"/>
    </row>
    <row r="20" spans="2:31" ht="15" customHeight="1" x14ac:dyDescent="0.25">
      <c r="B20" s="9" t="s">
        <v>62</v>
      </c>
      <c r="E20" s="440" t="s">
        <v>386</v>
      </c>
      <c r="F20" s="440"/>
      <c r="G20" s="440"/>
      <c r="H20" s="440"/>
      <c r="I20" s="440"/>
      <c r="J20" s="440"/>
      <c r="K20" s="440"/>
      <c r="L20" s="440"/>
      <c r="M20" s="440"/>
      <c r="N20" s="440"/>
      <c r="O20" s="440"/>
      <c r="P20" s="440"/>
      <c r="Q20" s="440"/>
      <c r="R20" s="440"/>
      <c r="S20" s="440"/>
      <c r="T20" s="440"/>
      <c r="Y20" s="405"/>
      <c r="Z20" s="405"/>
      <c r="AA20" s="405"/>
      <c r="AB20" s="405"/>
      <c r="AE20" s="40"/>
    </row>
    <row r="21" spans="2:31" ht="15" customHeight="1" x14ac:dyDescent="0.25">
      <c r="E21" s="440"/>
      <c r="F21" s="440"/>
      <c r="G21" s="440"/>
      <c r="H21" s="440"/>
      <c r="I21" s="440"/>
      <c r="J21" s="440"/>
      <c r="K21" s="440"/>
      <c r="L21" s="440"/>
      <c r="M21" s="440"/>
      <c r="N21" s="440"/>
      <c r="O21" s="440"/>
      <c r="P21" s="440"/>
      <c r="Q21" s="440"/>
      <c r="R21" s="440"/>
      <c r="S21" s="440"/>
      <c r="T21" s="440"/>
      <c r="W21" s="395"/>
      <c r="Y21" s="97" t="s">
        <v>355</v>
      </c>
      <c r="Z21" s="97"/>
      <c r="AA21" s="97"/>
      <c r="AB21" s="97"/>
      <c r="AE21" s="40"/>
    </row>
    <row r="22" spans="2:31" ht="15" customHeight="1" x14ac:dyDescent="0.25">
      <c r="B22" s="9" t="s">
        <v>97</v>
      </c>
      <c r="E22" s="441" t="s">
        <v>405</v>
      </c>
      <c r="F22" s="441"/>
      <c r="G22" s="441"/>
      <c r="H22" s="441"/>
      <c r="I22" s="441"/>
      <c r="J22" s="441"/>
      <c r="K22" s="441"/>
      <c r="L22" s="441"/>
      <c r="M22" s="441"/>
      <c r="N22" s="441"/>
      <c r="O22" s="441"/>
      <c r="P22" s="441"/>
      <c r="Q22" s="441"/>
      <c r="R22" s="441"/>
      <c r="S22" s="441"/>
      <c r="T22" s="441"/>
      <c r="W22" s="396"/>
      <c r="Y22" s="97"/>
      <c r="Z22" s="97"/>
      <c r="AA22" s="97"/>
      <c r="AB22" s="97"/>
      <c r="AE22" s="40"/>
    </row>
    <row r="23" spans="2:31" ht="15" customHeight="1" x14ac:dyDescent="0.25">
      <c r="E23" s="441"/>
      <c r="F23" s="441"/>
      <c r="G23" s="441"/>
      <c r="H23" s="441"/>
      <c r="I23" s="441"/>
      <c r="J23" s="441"/>
      <c r="K23" s="441"/>
      <c r="L23" s="441"/>
      <c r="M23" s="441"/>
      <c r="N23" s="441"/>
      <c r="O23" s="441"/>
      <c r="P23" s="441"/>
      <c r="Q23" s="441"/>
      <c r="R23" s="441"/>
      <c r="S23" s="441"/>
      <c r="T23" s="441"/>
      <c r="Y23" s="407"/>
      <c r="Z23" s="407"/>
      <c r="AA23" s="407"/>
      <c r="AB23" s="407"/>
      <c r="AE23" s="40"/>
    </row>
    <row r="24" spans="2:31" ht="15" customHeight="1" x14ac:dyDescent="0.25">
      <c r="B24" s="9" t="s">
        <v>73</v>
      </c>
      <c r="E24" s="447" t="s">
        <v>387</v>
      </c>
      <c r="F24" s="447"/>
      <c r="G24" s="447"/>
      <c r="H24" s="447"/>
      <c r="I24" s="447"/>
      <c r="J24" s="447"/>
      <c r="K24" s="447"/>
      <c r="L24" s="447"/>
      <c r="M24" s="447"/>
      <c r="N24" s="447"/>
      <c r="O24" s="447"/>
      <c r="P24" s="447"/>
      <c r="Q24" s="447"/>
      <c r="R24" s="447"/>
      <c r="S24" s="447"/>
      <c r="T24" s="447"/>
      <c r="W24" s="397"/>
      <c r="Y24" s="97" t="s">
        <v>356</v>
      </c>
      <c r="Z24" s="407"/>
      <c r="AA24" s="407"/>
      <c r="AB24" s="407"/>
      <c r="AE24" s="40"/>
    </row>
    <row r="25" spans="2:31" ht="15" customHeight="1" x14ac:dyDescent="0.25">
      <c r="E25" s="447"/>
      <c r="F25" s="447"/>
      <c r="G25" s="447"/>
      <c r="H25" s="447"/>
      <c r="I25" s="447"/>
      <c r="J25" s="447"/>
      <c r="K25" s="447"/>
      <c r="L25" s="447"/>
      <c r="M25" s="447"/>
      <c r="N25" s="447"/>
      <c r="O25" s="447"/>
      <c r="P25" s="447"/>
      <c r="Q25" s="447"/>
      <c r="R25" s="447"/>
      <c r="S25" s="447"/>
      <c r="T25" s="447"/>
      <c r="W25" s="398"/>
      <c r="Y25" s="97"/>
      <c r="Z25" s="407"/>
      <c r="AA25" s="407"/>
      <c r="AB25" s="407"/>
      <c r="AE25" s="40"/>
    </row>
    <row r="26" spans="2:31" x14ac:dyDescent="0.25">
      <c r="E26" s="447"/>
      <c r="F26" s="447"/>
      <c r="G26" s="447"/>
      <c r="H26" s="447"/>
      <c r="I26" s="447"/>
      <c r="J26" s="447"/>
      <c r="K26" s="447"/>
      <c r="L26" s="447"/>
      <c r="M26" s="447"/>
      <c r="N26" s="447"/>
      <c r="O26" s="447"/>
      <c r="P26" s="447"/>
      <c r="Q26" s="447"/>
      <c r="R26" s="447"/>
      <c r="S26" s="447"/>
      <c r="T26" s="447"/>
      <c r="Y26" s="407"/>
      <c r="Z26" s="407"/>
      <c r="AA26" s="407"/>
      <c r="AB26" s="407"/>
      <c r="AE26" s="40"/>
    </row>
    <row r="27" spans="2:31" ht="15" customHeight="1" x14ac:dyDescent="0.25">
      <c r="E27" s="447"/>
      <c r="F27" s="447"/>
      <c r="G27" s="447"/>
      <c r="H27" s="447"/>
      <c r="I27" s="447"/>
      <c r="J27" s="447"/>
      <c r="K27" s="447"/>
      <c r="L27" s="447"/>
      <c r="M27" s="447"/>
      <c r="N27" s="447"/>
      <c r="O27" s="447"/>
      <c r="P27" s="447"/>
      <c r="Q27" s="447"/>
      <c r="R27" s="447"/>
      <c r="S27" s="447"/>
      <c r="T27" s="447"/>
      <c r="W27" s="10"/>
      <c r="Y27" s="97" t="s">
        <v>52</v>
      </c>
      <c r="Z27" s="407"/>
      <c r="AA27" s="407"/>
      <c r="AB27" s="407"/>
      <c r="AE27" s="40"/>
    </row>
    <row r="28" spans="2:31" x14ac:dyDescent="0.25">
      <c r="E28" s="447"/>
      <c r="F28" s="447"/>
      <c r="G28" s="447"/>
      <c r="H28" s="447"/>
      <c r="I28" s="447"/>
      <c r="J28" s="447"/>
      <c r="K28" s="447"/>
      <c r="L28" s="447"/>
      <c r="M28" s="447"/>
      <c r="N28" s="447"/>
      <c r="O28" s="447"/>
      <c r="P28" s="447"/>
      <c r="Q28" s="447"/>
      <c r="R28" s="447"/>
      <c r="S28" s="447"/>
      <c r="T28" s="447"/>
      <c r="W28" s="11"/>
      <c r="Y28" s="97"/>
      <c r="Z28" s="407"/>
      <c r="AA28" s="407"/>
      <c r="AB28" s="407"/>
      <c r="AE28" s="40"/>
    </row>
    <row r="29" spans="2:31" ht="15" customHeight="1" x14ac:dyDescent="0.25">
      <c r="E29" s="405"/>
      <c r="F29" s="405"/>
      <c r="G29" s="405"/>
      <c r="H29" s="405"/>
      <c r="I29" s="405"/>
      <c r="J29" s="405"/>
      <c r="K29" s="405"/>
      <c r="L29" s="405"/>
      <c r="M29" s="405"/>
      <c r="N29" s="405"/>
      <c r="O29" s="405"/>
      <c r="P29" s="405"/>
      <c r="Q29" s="405"/>
      <c r="R29" s="405"/>
      <c r="S29" s="405"/>
      <c r="T29" s="405"/>
      <c r="AE29" s="40"/>
    </row>
    <row r="30" spans="2:31" ht="15" customHeight="1" x14ac:dyDescent="0.25">
      <c r="B30" s="9" t="s">
        <v>52</v>
      </c>
      <c r="E30" s="441" t="s">
        <v>388</v>
      </c>
      <c r="F30" s="441"/>
      <c r="G30" s="441"/>
      <c r="H30" s="441"/>
      <c r="I30" s="441"/>
      <c r="J30" s="441"/>
      <c r="K30" s="441"/>
      <c r="L30" s="441"/>
      <c r="M30" s="441"/>
      <c r="N30" s="441"/>
      <c r="O30" s="441"/>
      <c r="P30" s="441"/>
      <c r="Q30" s="441"/>
      <c r="R30" s="441"/>
      <c r="S30" s="441"/>
      <c r="T30" s="441"/>
      <c r="W30" s="403" t="s">
        <v>100</v>
      </c>
      <c r="X30" s="408"/>
      <c r="Y30" s="408"/>
      <c r="AE30" s="40"/>
    </row>
    <row r="31" spans="2:31" ht="15" customHeight="1" x14ac:dyDescent="0.25">
      <c r="E31" s="441"/>
      <c r="F31" s="441"/>
      <c r="G31" s="441"/>
      <c r="H31" s="441"/>
      <c r="I31" s="441"/>
      <c r="J31" s="441"/>
      <c r="K31" s="441"/>
      <c r="L31" s="441"/>
      <c r="M31" s="441"/>
      <c r="N31" s="441"/>
      <c r="O31" s="441"/>
      <c r="P31" s="441"/>
      <c r="Q31" s="441"/>
      <c r="R31" s="441"/>
      <c r="S31" s="441"/>
      <c r="T31" s="441"/>
      <c r="W31" s="442" t="s">
        <v>391</v>
      </c>
      <c r="X31" s="442"/>
      <c r="Y31" s="442"/>
      <c r="Z31" s="442"/>
      <c r="AA31" s="442"/>
      <c r="AB31" s="442"/>
      <c r="AC31" s="442"/>
      <c r="AD31" s="442"/>
      <c r="AE31" s="40"/>
    </row>
    <row r="32" spans="2:31" x14ac:dyDescent="0.25">
      <c r="E32" s="441"/>
      <c r="F32" s="441"/>
      <c r="G32" s="441"/>
      <c r="H32" s="441"/>
      <c r="I32" s="441"/>
      <c r="J32" s="441"/>
      <c r="K32" s="441"/>
      <c r="L32" s="441"/>
      <c r="M32" s="441"/>
      <c r="N32" s="441"/>
      <c r="O32" s="441"/>
      <c r="P32" s="441"/>
      <c r="Q32" s="441"/>
      <c r="R32" s="441"/>
      <c r="S32" s="441"/>
      <c r="T32" s="441"/>
      <c r="W32" s="442"/>
      <c r="X32" s="442"/>
      <c r="Y32" s="442"/>
      <c r="Z32" s="442"/>
      <c r="AA32" s="442"/>
      <c r="AB32" s="442"/>
      <c r="AC32" s="442"/>
      <c r="AD32" s="442"/>
      <c r="AE32" s="40"/>
    </row>
    <row r="33" spans="2:31" x14ac:dyDescent="0.25">
      <c r="E33" s="441"/>
      <c r="F33" s="441"/>
      <c r="G33" s="441"/>
      <c r="H33" s="441"/>
      <c r="I33" s="441"/>
      <c r="J33" s="441"/>
      <c r="K33" s="441"/>
      <c r="L33" s="441"/>
      <c r="M33" s="441"/>
      <c r="N33" s="441"/>
      <c r="O33" s="441"/>
      <c r="P33" s="441"/>
      <c r="Q33" s="441"/>
      <c r="R33" s="441"/>
      <c r="S33" s="441"/>
      <c r="T33" s="441"/>
      <c r="W33" s="442"/>
      <c r="X33" s="442"/>
      <c r="Y33" s="442"/>
      <c r="Z33" s="442"/>
      <c r="AA33" s="442"/>
      <c r="AB33" s="442"/>
      <c r="AC33" s="442"/>
      <c r="AD33" s="442"/>
      <c r="AE33" s="40"/>
    </row>
    <row r="34" spans="2:31" ht="15" customHeight="1" x14ac:dyDescent="0.25">
      <c r="E34" s="441"/>
      <c r="F34" s="441"/>
      <c r="G34" s="441"/>
      <c r="H34" s="441"/>
      <c r="I34" s="441"/>
      <c r="J34" s="441"/>
      <c r="K34" s="441"/>
      <c r="L34" s="441"/>
      <c r="M34" s="441"/>
      <c r="N34" s="441"/>
      <c r="O34" s="441"/>
      <c r="P34" s="441"/>
      <c r="Q34" s="441"/>
      <c r="R34" s="441"/>
      <c r="S34" s="441"/>
      <c r="T34" s="441"/>
      <c r="W34" s="442"/>
      <c r="X34" s="442"/>
      <c r="Y34" s="442"/>
      <c r="Z34" s="442"/>
      <c r="AA34" s="442"/>
      <c r="AB34" s="442"/>
      <c r="AC34" s="442"/>
      <c r="AD34" s="442"/>
      <c r="AE34" s="40"/>
    </row>
    <row r="35" spans="2:31" x14ac:dyDescent="0.25">
      <c r="E35" s="441"/>
      <c r="F35" s="441"/>
      <c r="G35" s="441"/>
      <c r="H35" s="441"/>
      <c r="I35" s="441"/>
      <c r="J35" s="441"/>
      <c r="K35" s="441"/>
      <c r="L35" s="441"/>
      <c r="M35" s="441"/>
      <c r="N35" s="441"/>
      <c r="O35" s="441"/>
      <c r="P35" s="441"/>
      <c r="Q35" s="441"/>
      <c r="R35" s="441"/>
      <c r="S35" s="441"/>
      <c r="T35" s="441"/>
      <c r="W35" s="442"/>
      <c r="X35" s="442"/>
      <c r="Y35" s="442"/>
      <c r="Z35" s="442"/>
      <c r="AA35" s="442"/>
      <c r="AB35" s="442"/>
      <c r="AC35" s="442"/>
      <c r="AD35" s="442"/>
      <c r="AE35" s="40"/>
    </row>
    <row r="36" spans="2:31" x14ac:dyDescent="0.25">
      <c r="E36" s="441"/>
      <c r="F36" s="441"/>
      <c r="G36" s="441"/>
      <c r="H36" s="441"/>
      <c r="I36" s="441"/>
      <c r="J36" s="441"/>
      <c r="K36" s="441"/>
      <c r="L36" s="441"/>
      <c r="M36" s="441"/>
      <c r="N36" s="441"/>
      <c r="O36" s="441"/>
      <c r="P36" s="441"/>
      <c r="Q36" s="441"/>
      <c r="R36" s="441"/>
      <c r="S36" s="441"/>
      <c r="T36" s="441"/>
      <c r="W36" s="442"/>
      <c r="X36" s="442"/>
      <c r="Y36" s="442"/>
      <c r="Z36" s="442"/>
      <c r="AA36" s="442"/>
      <c r="AB36" s="442"/>
      <c r="AC36" s="442"/>
      <c r="AD36" s="442"/>
      <c r="AE36" s="40"/>
    </row>
    <row r="37" spans="2:31" x14ac:dyDescent="0.25">
      <c r="E37" s="441"/>
      <c r="F37" s="441"/>
      <c r="G37" s="441"/>
      <c r="H37" s="441"/>
      <c r="I37" s="441"/>
      <c r="J37" s="441"/>
      <c r="K37" s="441"/>
      <c r="L37" s="441"/>
      <c r="M37" s="441"/>
      <c r="N37" s="441"/>
      <c r="O37" s="441"/>
      <c r="P37" s="441"/>
      <c r="Q37" s="441"/>
      <c r="R37" s="441"/>
      <c r="S37" s="441"/>
      <c r="T37" s="441"/>
      <c r="W37" s="442"/>
      <c r="X37" s="442"/>
      <c r="Y37" s="442"/>
      <c r="Z37" s="442"/>
      <c r="AA37" s="442"/>
      <c r="AB37" s="442"/>
      <c r="AC37" s="442"/>
      <c r="AD37" s="442"/>
      <c r="AE37" s="40"/>
    </row>
    <row r="38" spans="2:31" x14ac:dyDescent="0.25">
      <c r="E38" s="441"/>
      <c r="F38" s="441"/>
      <c r="G38" s="441"/>
      <c r="H38" s="441"/>
      <c r="I38" s="441"/>
      <c r="J38" s="441"/>
      <c r="K38" s="441"/>
      <c r="L38" s="441"/>
      <c r="M38" s="441"/>
      <c r="N38" s="441"/>
      <c r="O38" s="441"/>
      <c r="P38" s="441"/>
      <c r="Q38" s="441"/>
      <c r="R38" s="441"/>
      <c r="S38" s="441"/>
      <c r="T38" s="441"/>
      <c r="W38" s="442"/>
      <c r="X38" s="442"/>
      <c r="Y38" s="442"/>
      <c r="Z38" s="442"/>
      <c r="AA38" s="442"/>
      <c r="AB38" s="442"/>
      <c r="AC38" s="442"/>
      <c r="AD38" s="442"/>
      <c r="AE38" s="40"/>
    </row>
    <row r="39" spans="2:31" x14ac:dyDescent="0.25">
      <c r="E39" s="441"/>
      <c r="F39" s="441"/>
      <c r="G39" s="441"/>
      <c r="H39" s="441"/>
      <c r="I39" s="441"/>
      <c r="J39" s="441"/>
      <c r="K39" s="441"/>
      <c r="L39" s="441"/>
      <c r="M39" s="441"/>
      <c r="N39" s="441"/>
      <c r="O39" s="441"/>
      <c r="P39" s="441"/>
      <c r="Q39" s="441"/>
      <c r="R39" s="441"/>
      <c r="S39" s="441"/>
      <c r="T39" s="441"/>
      <c r="W39" s="442"/>
      <c r="X39" s="442"/>
      <c r="Y39" s="442"/>
      <c r="Z39" s="442"/>
      <c r="AA39" s="442"/>
      <c r="AB39" s="442"/>
      <c r="AC39" s="442"/>
      <c r="AD39" s="442"/>
      <c r="AE39" s="40"/>
    </row>
    <row r="40" spans="2:31" x14ac:dyDescent="0.25">
      <c r="E40" s="441"/>
      <c r="F40" s="441"/>
      <c r="G40" s="441"/>
      <c r="H40" s="441"/>
      <c r="I40" s="441"/>
      <c r="J40" s="441"/>
      <c r="K40" s="441"/>
      <c r="L40" s="441"/>
      <c r="M40" s="441"/>
      <c r="N40" s="441"/>
      <c r="O40" s="441"/>
      <c r="P40" s="441"/>
      <c r="Q40" s="441"/>
      <c r="R40" s="441"/>
      <c r="S40" s="441"/>
      <c r="T40" s="441"/>
      <c r="W40" s="442"/>
      <c r="X40" s="442"/>
      <c r="Y40" s="442"/>
      <c r="Z40" s="442"/>
      <c r="AA40" s="442"/>
      <c r="AB40" s="442"/>
      <c r="AC40" s="442"/>
      <c r="AD40" s="442"/>
      <c r="AE40" s="40"/>
    </row>
    <row r="41" spans="2:31" x14ac:dyDescent="0.25">
      <c r="E41" s="441"/>
      <c r="F41" s="441"/>
      <c r="G41" s="441"/>
      <c r="H41" s="441"/>
      <c r="I41" s="441"/>
      <c r="J41" s="441"/>
      <c r="K41" s="441"/>
      <c r="L41" s="441"/>
      <c r="M41" s="441"/>
      <c r="N41" s="441"/>
      <c r="O41" s="441"/>
      <c r="P41" s="441"/>
      <c r="Q41" s="441"/>
      <c r="R41" s="441"/>
      <c r="S41" s="441"/>
      <c r="T41" s="441"/>
      <c r="W41" s="442"/>
      <c r="X41" s="442"/>
      <c r="Y41" s="442"/>
      <c r="Z41" s="442"/>
      <c r="AA41" s="442"/>
      <c r="AB41" s="442"/>
      <c r="AC41" s="442"/>
      <c r="AD41" s="442"/>
      <c r="AE41" s="40"/>
    </row>
    <row r="42" spans="2:31" x14ac:dyDescent="0.25">
      <c r="E42" s="441"/>
      <c r="F42" s="441"/>
      <c r="G42" s="441"/>
      <c r="H42" s="441"/>
      <c r="I42" s="441"/>
      <c r="J42" s="441"/>
      <c r="K42" s="441"/>
      <c r="L42" s="441"/>
      <c r="M42" s="441"/>
      <c r="N42" s="441"/>
      <c r="O42" s="441"/>
      <c r="P42" s="441"/>
      <c r="Q42" s="441"/>
      <c r="R42" s="441"/>
      <c r="S42" s="441"/>
      <c r="T42" s="441"/>
      <c r="W42" s="442"/>
      <c r="X42" s="442"/>
      <c r="Y42" s="442"/>
      <c r="Z42" s="442"/>
      <c r="AA42" s="442"/>
      <c r="AB42" s="442"/>
      <c r="AC42" s="442"/>
      <c r="AD42" s="442"/>
      <c r="AE42" s="40"/>
    </row>
    <row r="43" spans="2:31" x14ac:dyDescent="0.25">
      <c r="E43" s="441"/>
      <c r="F43" s="441"/>
      <c r="G43" s="441"/>
      <c r="H43" s="441"/>
      <c r="I43" s="441"/>
      <c r="J43" s="441"/>
      <c r="K43" s="441"/>
      <c r="L43" s="441"/>
      <c r="M43" s="441"/>
      <c r="N43" s="441"/>
      <c r="O43" s="441"/>
      <c r="P43" s="441"/>
      <c r="Q43" s="441"/>
      <c r="R43" s="441"/>
      <c r="S43" s="441"/>
      <c r="T43" s="441"/>
      <c r="W43" s="442"/>
      <c r="X43" s="442"/>
      <c r="Y43" s="442"/>
      <c r="Z43" s="442"/>
      <c r="AA43" s="442"/>
      <c r="AB43" s="442"/>
      <c r="AC43" s="442"/>
      <c r="AD43" s="442"/>
      <c r="AE43" s="40"/>
    </row>
    <row r="44" spans="2:31" x14ac:dyDescent="0.25">
      <c r="E44" s="441"/>
      <c r="F44" s="441"/>
      <c r="G44" s="441"/>
      <c r="H44" s="441"/>
      <c r="I44" s="441"/>
      <c r="J44" s="441"/>
      <c r="K44" s="441"/>
      <c r="L44" s="441"/>
      <c r="M44" s="441"/>
      <c r="N44" s="441"/>
      <c r="O44" s="441"/>
      <c r="P44" s="441"/>
      <c r="Q44" s="441"/>
      <c r="R44" s="441"/>
      <c r="S44" s="441"/>
      <c r="T44" s="441"/>
      <c r="W44" s="442"/>
      <c r="X44" s="442"/>
      <c r="Y44" s="442"/>
      <c r="Z44" s="442"/>
      <c r="AA44" s="442"/>
      <c r="AB44" s="442"/>
      <c r="AC44" s="442"/>
      <c r="AD44" s="442"/>
      <c r="AE44" s="40"/>
    </row>
    <row r="45" spans="2:31" x14ac:dyDescent="0.25">
      <c r="E45" s="441"/>
      <c r="F45" s="441"/>
      <c r="G45" s="441"/>
      <c r="H45" s="441"/>
      <c r="I45" s="441"/>
      <c r="J45" s="441"/>
      <c r="K45" s="441"/>
      <c r="L45" s="441"/>
      <c r="M45" s="441"/>
      <c r="N45" s="441"/>
      <c r="O45" s="441"/>
      <c r="P45" s="441"/>
      <c r="Q45" s="441"/>
      <c r="R45" s="441"/>
      <c r="S45" s="441"/>
      <c r="T45" s="441"/>
      <c r="W45" s="442"/>
      <c r="X45" s="442"/>
      <c r="Y45" s="442"/>
      <c r="Z45" s="442"/>
      <c r="AA45" s="442"/>
      <c r="AB45" s="442"/>
      <c r="AC45" s="442"/>
      <c r="AD45" s="442"/>
      <c r="AE45" s="40"/>
    </row>
    <row r="46" spans="2:31" x14ac:dyDescent="0.25">
      <c r="E46" s="441"/>
      <c r="F46" s="441"/>
      <c r="G46" s="441"/>
      <c r="H46" s="441"/>
      <c r="I46" s="441"/>
      <c r="J46" s="441"/>
      <c r="K46" s="441"/>
      <c r="L46" s="441"/>
      <c r="M46" s="441"/>
      <c r="N46" s="441"/>
      <c r="O46" s="441"/>
      <c r="P46" s="441"/>
      <c r="Q46" s="441"/>
      <c r="R46" s="441"/>
      <c r="S46" s="441"/>
      <c r="T46" s="441"/>
      <c r="W46" s="442"/>
      <c r="X46" s="442"/>
      <c r="Y46" s="442"/>
      <c r="Z46" s="442"/>
      <c r="AA46" s="442"/>
      <c r="AB46" s="442"/>
      <c r="AC46" s="442"/>
      <c r="AD46" s="442"/>
      <c r="AE46" s="40"/>
    </row>
    <row r="47" spans="2:31" x14ac:dyDescent="0.25">
      <c r="E47" s="89"/>
      <c r="F47" s="89"/>
      <c r="G47" s="89"/>
      <c r="H47" s="89"/>
      <c r="I47" s="89"/>
      <c r="J47" s="89"/>
      <c r="K47" s="89"/>
      <c r="L47" s="89"/>
      <c r="M47" s="89"/>
      <c r="N47" s="89"/>
      <c r="O47" s="89"/>
      <c r="P47" s="89"/>
      <c r="Q47" s="89"/>
      <c r="R47" s="89"/>
      <c r="S47" s="89"/>
      <c r="T47" s="89"/>
      <c r="W47" s="442"/>
      <c r="X47" s="442"/>
      <c r="Y47" s="442"/>
      <c r="Z47" s="442"/>
      <c r="AA47" s="442"/>
      <c r="AB47" s="442"/>
      <c r="AC47" s="442"/>
      <c r="AD47" s="442"/>
      <c r="AE47" s="40"/>
    </row>
    <row r="48" spans="2:31" ht="15" customHeight="1" x14ac:dyDescent="0.25">
      <c r="B48" s="9" t="s">
        <v>322</v>
      </c>
      <c r="E48" s="440" t="s">
        <v>323</v>
      </c>
      <c r="F48" s="440"/>
      <c r="G48" s="440"/>
      <c r="H48" s="440"/>
      <c r="I48" s="440"/>
      <c r="J48" s="440"/>
      <c r="K48" s="440"/>
      <c r="L48" s="440"/>
      <c r="M48" s="440"/>
      <c r="N48" s="440"/>
      <c r="O48" s="440"/>
      <c r="P48" s="440"/>
      <c r="Q48" s="440"/>
      <c r="R48" s="440"/>
      <c r="S48" s="440"/>
      <c r="T48" s="440"/>
      <c r="W48" s="442"/>
      <c r="X48" s="442"/>
      <c r="Y48" s="442"/>
      <c r="Z48" s="442"/>
      <c r="AA48" s="442"/>
      <c r="AB48" s="442"/>
      <c r="AC48" s="442"/>
      <c r="AD48" s="442"/>
      <c r="AE48" s="40"/>
    </row>
    <row r="49" spans="2:34" x14ac:dyDescent="0.25">
      <c r="E49" s="409"/>
      <c r="F49" s="409"/>
      <c r="G49" s="409"/>
      <c r="H49" s="409"/>
      <c r="I49" s="409"/>
      <c r="J49" s="409"/>
      <c r="K49" s="409"/>
      <c r="L49" s="409"/>
      <c r="M49" s="409"/>
      <c r="N49" s="409"/>
      <c r="O49" s="409"/>
      <c r="P49" s="409"/>
      <c r="Q49" s="409"/>
      <c r="R49" s="409"/>
      <c r="S49" s="409"/>
      <c r="T49" s="409"/>
      <c r="W49" s="442"/>
      <c r="X49" s="442"/>
      <c r="Y49" s="442"/>
      <c r="Z49" s="442"/>
      <c r="AA49" s="442"/>
      <c r="AB49" s="442"/>
      <c r="AC49" s="442"/>
      <c r="AD49" s="442"/>
      <c r="AE49" s="40"/>
    </row>
    <row r="50" spans="2:34" ht="15" customHeight="1" x14ac:dyDescent="0.25">
      <c r="B50" s="9" t="s">
        <v>324</v>
      </c>
      <c r="E50" s="442" t="s">
        <v>325</v>
      </c>
      <c r="F50" s="442"/>
      <c r="G50" s="442"/>
      <c r="H50" s="442"/>
      <c r="I50" s="442"/>
      <c r="J50" s="442"/>
      <c r="K50" s="442"/>
      <c r="L50" s="442"/>
      <c r="M50" s="442"/>
      <c r="N50" s="442"/>
      <c r="O50" s="442"/>
      <c r="P50" s="442"/>
      <c r="Q50" s="442"/>
      <c r="R50" s="442"/>
      <c r="S50" s="442"/>
      <c r="T50" s="442"/>
      <c r="W50" s="442"/>
      <c r="X50" s="442"/>
      <c r="Y50" s="442"/>
      <c r="Z50" s="442"/>
      <c r="AA50" s="442"/>
      <c r="AB50" s="442"/>
      <c r="AC50" s="442"/>
      <c r="AD50" s="442"/>
      <c r="AE50" s="40"/>
    </row>
    <row r="51" spans="2:34" x14ac:dyDescent="0.25">
      <c r="E51" s="442"/>
      <c r="F51" s="442"/>
      <c r="G51" s="442"/>
      <c r="H51" s="442"/>
      <c r="I51" s="442"/>
      <c r="J51" s="442"/>
      <c r="K51" s="442"/>
      <c r="L51" s="442"/>
      <c r="M51" s="442"/>
      <c r="N51" s="442"/>
      <c r="O51" s="442"/>
      <c r="P51" s="442"/>
      <c r="Q51" s="442"/>
      <c r="R51" s="442"/>
      <c r="S51" s="442"/>
      <c r="T51" s="442"/>
      <c r="W51" s="442"/>
      <c r="X51" s="442"/>
      <c r="Y51" s="442"/>
      <c r="Z51" s="442"/>
      <c r="AA51" s="442"/>
      <c r="AB51" s="442"/>
      <c r="AC51" s="442"/>
      <c r="AD51" s="442"/>
      <c r="AE51" s="40"/>
    </row>
    <row r="52" spans="2:34" x14ac:dyDescent="0.25">
      <c r="W52" s="442"/>
      <c r="X52" s="442"/>
      <c r="Y52" s="442"/>
      <c r="Z52" s="442"/>
      <c r="AA52" s="442"/>
      <c r="AB52" s="442"/>
      <c r="AC52" s="442"/>
      <c r="AD52" s="442"/>
      <c r="AE52" s="40"/>
    </row>
    <row r="53" spans="2:34" x14ac:dyDescent="0.25">
      <c r="W53" s="442"/>
      <c r="X53" s="442"/>
      <c r="Y53" s="442"/>
      <c r="Z53" s="442"/>
      <c r="AA53" s="442"/>
      <c r="AB53" s="442"/>
      <c r="AC53" s="442"/>
      <c r="AD53" s="442"/>
      <c r="AE53" s="40"/>
    </row>
    <row r="54" spans="2:34" x14ac:dyDescent="0.25">
      <c r="W54" s="442"/>
      <c r="X54" s="442"/>
      <c r="Y54" s="442"/>
      <c r="Z54" s="442"/>
      <c r="AA54" s="442"/>
      <c r="AB54" s="442"/>
      <c r="AC54" s="442"/>
      <c r="AD54" s="442"/>
      <c r="AE54" s="40"/>
    </row>
    <row r="55" spans="2:34" x14ac:dyDescent="0.25">
      <c r="W55" s="442"/>
      <c r="X55" s="442"/>
      <c r="Y55" s="442"/>
      <c r="Z55" s="442"/>
      <c r="AA55" s="442"/>
      <c r="AB55" s="442"/>
      <c r="AC55" s="442"/>
      <c r="AD55" s="442"/>
      <c r="AE55" s="40"/>
    </row>
    <row r="56" spans="2:34" ht="15" customHeight="1" x14ac:dyDescent="0.25">
      <c r="W56" s="442"/>
      <c r="X56" s="442"/>
      <c r="Y56" s="442"/>
      <c r="Z56" s="442"/>
      <c r="AA56" s="442"/>
      <c r="AB56" s="442"/>
      <c r="AC56" s="442"/>
      <c r="AD56" s="442"/>
      <c r="AE56" s="40"/>
    </row>
    <row r="57" spans="2:34" x14ac:dyDescent="0.25">
      <c r="B57" s="445" t="s">
        <v>406</v>
      </c>
      <c r="C57" s="445"/>
      <c r="D57" s="445"/>
      <c r="E57" s="445"/>
      <c r="F57" s="445"/>
      <c r="G57" s="445"/>
      <c r="H57" s="445"/>
      <c r="I57" s="445"/>
      <c r="J57" s="445"/>
      <c r="K57" s="445"/>
      <c r="L57" s="445"/>
      <c r="M57" s="445"/>
      <c r="N57" s="445"/>
      <c r="O57" s="445"/>
      <c r="P57" s="445"/>
      <c r="Q57" s="445"/>
      <c r="R57" s="445"/>
      <c r="S57" s="445"/>
      <c r="T57" s="445"/>
      <c r="W57" s="442"/>
      <c r="X57" s="442"/>
      <c r="Y57" s="442"/>
      <c r="Z57" s="442"/>
      <c r="AA57" s="442"/>
      <c r="AB57" s="442"/>
      <c r="AC57" s="442"/>
      <c r="AD57" s="442"/>
      <c r="AE57" s="40"/>
    </row>
    <row r="58" spans="2:34" x14ac:dyDescent="0.25">
      <c r="B58" s="445"/>
      <c r="C58" s="445"/>
      <c r="D58" s="445"/>
      <c r="E58" s="445"/>
      <c r="F58" s="445"/>
      <c r="G58" s="445"/>
      <c r="H58" s="445"/>
      <c r="I58" s="445"/>
      <c r="J58" s="445"/>
      <c r="K58" s="445"/>
      <c r="L58" s="445"/>
      <c r="M58" s="445"/>
      <c r="N58" s="445"/>
      <c r="O58" s="445"/>
      <c r="P58" s="445"/>
      <c r="Q58" s="445"/>
      <c r="R58" s="445"/>
      <c r="S58" s="445"/>
      <c r="T58" s="445"/>
      <c r="W58" s="442"/>
      <c r="X58" s="442"/>
      <c r="Y58" s="442"/>
      <c r="Z58" s="442"/>
      <c r="AA58" s="442"/>
      <c r="AB58" s="442"/>
      <c r="AC58" s="442"/>
      <c r="AD58" s="442"/>
      <c r="AE58" s="40"/>
      <c r="AH58"/>
    </row>
    <row r="59" spans="2:34" x14ac:dyDescent="0.25">
      <c r="B59" s="445"/>
      <c r="C59" s="445"/>
      <c r="D59" s="445"/>
      <c r="E59" s="445"/>
      <c r="F59" s="445"/>
      <c r="G59" s="445"/>
      <c r="H59" s="445"/>
      <c r="I59" s="445"/>
      <c r="J59" s="445"/>
      <c r="K59" s="445"/>
      <c r="L59" s="445"/>
      <c r="M59" s="445"/>
      <c r="N59" s="445"/>
      <c r="O59" s="445"/>
      <c r="P59" s="445"/>
      <c r="Q59" s="445"/>
      <c r="R59" s="445"/>
      <c r="S59" s="445"/>
      <c r="T59" s="445"/>
      <c r="W59" s="442"/>
      <c r="X59" s="442"/>
      <c r="Y59" s="442"/>
      <c r="Z59" s="442"/>
      <c r="AA59" s="442"/>
      <c r="AB59" s="442"/>
      <c r="AC59" s="442"/>
      <c r="AD59" s="442"/>
      <c r="AE59" s="40"/>
    </row>
    <row r="60" spans="2:34" x14ac:dyDescent="0.25">
      <c r="B60" s="445"/>
      <c r="C60" s="445"/>
      <c r="D60" s="445"/>
      <c r="E60" s="445"/>
      <c r="F60" s="445"/>
      <c r="G60" s="445"/>
      <c r="H60" s="445"/>
      <c r="I60" s="445"/>
      <c r="J60" s="445"/>
      <c r="K60" s="445"/>
      <c r="L60" s="445"/>
      <c r="M60" s="445"/>
      <c r="N60" s="445"/>
      <c r="O60" s="445"/>
      <c r="P60" s="445"/>
      <c r="Q60" s="445"/>
      <c r="R60" s="445"/>
      <c r="S60" s="445"/>
      <c r="T60" s="445"/>
      <c r="W60" s="442"/>
      <c r="X60" s="442"/>
      <c r="Y60" s="442"/>
      <c r="Z60" s="442"/>
      <c r="AA60" s="442"/>
      <c r="AB60" s="442"/>
      <c r="AC60" s="442"/>
      <c r="AD60" s="442"/>
      <c r="AE60" s="40"/>
    </row>
    <row r="61" spans="2:34" x14ac:dyDescent="0.25">
      <c r="B61" s="445"/>
      <c r="C61" s="445"/>
      <c r="D61" s="445"/>
      <c r="E61" s="445"/>
      <c r="F61" s="445"/>
      <c r="G61" s="445"/>
      <c r="H61" s="445"/>
      <c r="I61" s="445"/>
      <c r="J61" s="445"/>
      <c r="K61" s="445"/>
      <c r="L61" s="445"/>
      <c r="M61" s="445"/>
      <c r="N61" s="445"/>
      <c r="O61" s="445"/>
      <c r="P61" s="445"/>
      <c r="Q61" s="445"/>
      <c r="R61" s="445"/>
      <c r="S61" s="445"/>
      <c r="T61" s="445"/>
      <c r="W61" s="442"/>
      <c r="X61" s="442"/>
      <c r="Y61" s="442"/>
      <c r="Z61" s="442"/>
      <c r="AA61" s="442"/>
      <c r="AB61" s="442"/>
      <c r="AC61" s="442"/>
      <c r="AD61" s="442"/>
      <c r="AE61" s="40"/>
    </row>
    <row r="62" spans="2:34" ht="42" customHeight="1" x14ac:dyDescent="0.25">
      <c r="B62" s="445"/>
      <c r="C62" s="445"/>
      <c r="D62" s="445"/>
      <c r="E62" s="445"/>
      <c r="F62" s="445"/>
      <c r="G62" s="445"/>
      <c r="H62" s="445"/>
      <c r="I62" s="445"/>
      <c r="J62" s="445"/>
      <c r="K62" s="445"/>
      <c r="L62" s="445"/>
      <c r="M62" s="445"/>
      <c r="N62" s="445"/>
      <c r="O62" s="445"/>
      <c r="P62" s="445"/>
      <c r="Q62" s="445"/>
      <c r="R62" s="445"/>
      <c r="S62" s="445"/>
      <c r="T62" s="445"/>
      <c r="W62" s="442"/>
      <c r="X62" s="442"/>
      <c r="Y62" s="442"/>
      <c r="Z62" s="442"/>
      <c r="AA62" s="442"/>
      <c r="AB62" s="442"/>
      <c r="AC62" s="442"/>
      <c r="AD62" s="442"/>
      <c r="AE62" s="40"/>
    </row>
    <row r="63" spans="2:34" x14ac:dyDescent="0.25">
      <c r="W63" s="442"/>
      <c r="X63" s="442"/>
      <c r="Y63" s="442"/>
      <c r="Z63" s="442"/>
      <c r="AA63" s="442"/>
      <c r="AB63" s="442"/>
      <c r="AC63" s="442"/>
      <c r="AD63" s="442"/>
      <c r="AE63" s="40"/>
    </row>
    <row r="64" spans="2:34" ht="33.6" customHeight="1" x14ac:dyDescent="0.25">
      <c r="W64" s="442"/>
      <c r="X64" s="442"/>
      <c r="Y64" s="442"/>
      <c r="Z64" s="442"/>
      <c r="AA64" s="442"/>
      <c r="AB64" s="442"/>
      <c r="AC64" s="442"/>
      <c r="AD64" s="442"/>
      <c r="AE64" s="40"/>
    </row>
    <row r="65" spans="1:31" x14ac:dyDescent="0.25">
      <c r="W65" s="442"/>
      <c r="X65" s="442"/>
      <c r="Y65" s="442"/>
      <c r="Z65" s="442"/>
      <c r="AA65" s="442"/>
      <c r="AB65" s="442"/>
      <c r="AC65" s="442"/>
      <c r="AD65" s="442"/>
      <c r="AE65" s="40"/>
    </row>
    <row r="66" spans="1:31" x14ac:dyDescent="0.25">
      <c r="E66" s="405"/>
      <c r="F66" s="405"/>
      <c r="G66" s="405"/>
      <c r="H66" s="405"/>
      <c r="I66" s="405"/>
      <c r="J66" s="405"/>
      <c r="K66" s="405"/>
      <c r="L66" s="405"/>
      <c r="M66" s="405"/>
      <c r="N66" s="405"/>
      <c r="O66" s="405"/>
      <c r="P66" s="405"/>
      <c r="Q66" s="405"/>
      <c r="R66" s="405"/>
      <c r="S66" s="405"/>
      <c r="T66" s="405"/>
      <c r="W66" s="442"/>
      <c r="X66" s="442"/>
      <c r="Y66" s="442"/>
      <c r="Z66" s="442"/>
      <c r="AA66" s="442"/>
      <c r="AB66" s="442"/>
      <c r="AC66" s="442"/>
      <c r="AD66" s="442"/>
      <c r="AE66" s="40"/>
    </row>
    <row r="67" spans="1:31" ht="21.95" customHeight="1" x14ac:dyDescent="0.25">
      <c r="B67" s="448"/>
      <c r="C67" s="448"/>
      <c r="D67" s="448"/>
      <c r="E67" s="448"/>
      <c r="F67" s="448"/>
      <c r="G67" s="448"/>
      <c r="H67" s="448"/>
      <c r="I67" s="448"/>
      <c r="J67" s="448"/>
      <c r="K67" s="448"/>
      <c r="L67" s="448"/>
      <c r="M67" s="448"/>
      <c r="N67" s="448"/>
      <c r="O67" s="448"/>
      <c r="P67" s="448"/>
      <c r="Q67" s="448"/>
      <c r="R67" s="448"/>
      <c r="S67" s="448"/>
      <c r="T67" s="448"/>
      <c r="W67" s="442"/>
      <c r="X67" s="442"/>
      <c r="Y67" s="442"/>
      <c r="Z67" s="442"/>
      <c r="AA67" s="442"/>
      <c r="AB67" s="442"/>
      <c r="AC67" s="442"/>
      <c r="AD67" s="442"/>
      <c r="AE67" s="40"/>
    </row>
    <row r="68" spans="1:31" x14ac:dyDescent="0.25">
      <c r="E68" s="405"/>
      <c r="F68" s="405"/>
      <c r="G68" s="405"/>
      <c r="H68" s="405"/>
      <c r="I68" s="405"/>
      <c r="J68" s="405"/>
      <c r="K68" s="405"/>
      <c r="L68" s="405"/>
      <c r="M68" s="405"/>
      <c r="N68" s="405"/>
      <c r="O68" s="405"/>
      <c r="P68" s="405"/>
      <c r="Q68" s="405"/>
      <c r="W68" s="442"/>
      <c r="X68" s="442"/>
      <c r="Y68" s="442"/>
      <c r="Z68" s="442"/>
      <c r="AA68" s="442"/>
      <c r="AB68" s="442"/>
      <c r="AC68" s="442"/>
      <c r="AD68" s="442"/>
      <c r="AE68" s="40"/>
    </row>
    <row r="69" spans="1:31" x14ac:dyDescent="0.25">
      <c r="E69" s="441"/>
      <c r="F69" s="443"/>
      <c r="G69" s="443"/>
      <c r="H69" s="443"/>
      <c r="I69" s="443"/>
      <c r="J69" s="443"/>
      <c r="K69" s="443"/>
      <c r="L69" s="443"/>
      <c r="M69" s="443"/>
      <c r="N69" s="443"/>
      <c r="O69" s="443"/>
      <c r="P69" s="443"/>
      <c r="Q69" s="443"/>
      <c r="R69" s="443"/>
      <c r="S69" s="443"/>
      <c r="T69" s="443"/>
      <c r="W69" s="442"/>
      <c r="X69" s="442"/>
      <c r="Y69" s="442"/>
      <c r="Z69" s="442"/>
      <c r="AA69" s="442"/>
      <c r="AB69" s="442"/>
      <c r="AC69" s="442"/>
      <c r="AD69" s="442"/>
      <c r="AE69" s="40"/>
    </row>
    <row r="70" spans="1:31" ht="15.75" thickBot="1" x14ac:dyDescent="0.3">
      <c r="A70" s="42"/>
      <c r="B70" s="42"/>
      <c r="C70" s="42"/>
      <c r="D70" s="42"/>
      <c r="E70" s="444"/>
      <c r="F70" s="444"/>
      <c r="G70" s="444"/>
      <c r="H70" s="444"/>
      <c r="I70" s="444"/>
      <c r="J70" s="444"/>
      <c r="K70" s="444"/>
      <c r="L70" s="444"/>
      <c r="M70" s="444"/>
      <c r="N70" s="444"/>
      <c r="O70" s="444"/>
      <c r="P70" s="444"/>
      <c r="Q70" s="444"/>
      <c r="R70" s="444"/>
      <c r="S70" s="444"/>
      <c r="T70" s="444"/>
      <c r="U70" s="42"/>
      <c r="V70" s="42"/>
      <c r="W70" s="42"/>
      <c r="X70" s="42"/>
      <c r="Y70" s="42"/>
      <c r="Z70" s="42"/>
      <c r="AA70" s="42"/>
      <c r="AB70" s="42"/>
      <c r="AC70" s="42"/>
      <c r="AD70" s="42"/>
      <c r="AE70" s="43"/>
    </row>
    <row r="71" spans="1:31" x14ac:dyDescent="0.25">
      <c r="E71" s="401"/>
      <c r="F71" s="401"/>
      <c r="G71" s="401"/>
      <c r="H71" s="401"/>
      <c r="I71" s="401"/>
      <c r="J71" s="401"/>
      <c r="K71" s="401"/>
      <c r="L71" s="401"/>
      <c r="M71" s="401"/>
    </row>
    <row r="72" spans="1:31" x14ac:dyDescent="0.25">
      <c r="E72" s="441"/>
      <c r="F72" s="443"/>
      <c r="G72" s="443"/>
      <c r="H72" s="443"/>
      <c r="I72" s="443"/>
      <c r="J72" s="443"/>
      <c r="K72" s="443"/>
      <c r="L72" s="443"/>
      <c r="M72" s="443"/>
      <c r="N72" s="443"/>
      <c r="O72" s="443"/>
      <c r="P72" s="443"/>
      <c r="Q72" s="443"/>
      <c r="R72" s="443"/>
      <c r="S72" s="443"/>
      <c r="T72" s="443"/>
    </row>
    <row r="73" spans="1:31" x14ac:dyDescent="0.25">
      <c r="E73" s="443"/>
      <c r="F73" s="443"/>
      <c r="G73" s="443"/>
      <c r="H73" s="443"/>
      <c r="I73" s="443"/>
      <c r="J73" s="443"/>
      <c r="K73" s="443"/>
      <c r="L73" s="443"/>
      <c r="M73" s="443"/>
      <c r="N73" s="443"/>
      <c r="O73" s="443"/>
      <c r="P73" s="443"/>
      <c r="Q73" s="443"/>
      <c r="R73" s="443"/>
      <c r="S73" s="443"/>
      <c r="T73" s="443"/>
    </row>
    <row r="75" spans="1:31" x14ac:dyDescent="0.25">
      <c r="E75" s="441"/>
      <c r="F75" s="443"/>
      <c r="G75" s="443"/>
      <c r="H75" s="443"/>
      <c r="I75" s="443"/>
      <c r="J75" s="443"/>
      <c r="K75" s="443"/>
      <c r="L75" s="443"/>
      <c r="M75" s="443"/>
      <c r="N75" s="443"/>
      <c r="O75" s="443"/>
      <c r="P75" s="443"/>
      <c r="Q75" s="443"/>
      <c r="R75" s="443"/>
      <c r="S75" s="443"/>
      <c r="T75" s="443"/>
    </row>
    <row r="76" spans="1:31" x14ac:dyDescent="0.25">
      <c r="E76" s="443"/>
      <c r="F76" s="443"/>
      <c r="G76" s="443"/>
      <c r="H76" s="443"/>
      <c r="I76" s="443"/>
      <c r="J76" s="443"/>
      <c r="K76" s="443"/>
      <c r="L76" s="443"/>
      <c r="M76" s="443"/>
      <c r="N76" s="443"/>
      <c r="O76" s="443"/>
      <c r="P76" s="443"/>
      <c r="Q76" s="443"/>
      <c r="R76" s="443"/>
      <c r="S76" s="443"/>
      <c r="T76" s="443"/>
    </row>
    <row r="78" spans="1:31" x14ac:dyDescent="0.25">
      <c r="E78" s="441"/>
      <c r="F78" s="443"/>
      <c r="G78" s="443"/>
      <c r="H78" s="443"/>
      <c r="I78" s="443"/>
      <c r="J78" s="443"/>
      <c r="K78" s="443"/>
      <c r="L78" s="443"/>
      <c r="M78" s="443"/>
      <c r="N78" s="443"/>
      <c r="O78" s="443"/>
      <c r="P78" s="443"/>
      <c r="Q78" s="443"/>
      <c r="R78" s="443"/>
      <c r="S78" s="443"/>
      <c r="T78" s="443"/>
    </row>
    <row r="79" spans="1:31" x14ac:dyDescent="0.25">
      <c r="E79" s="443"/>
      <c r="F79" s="443"/>
      <c r="G79" s="443"/>
      <c r="H79" s="443"/>
      <c r="I79" s="443"/>
      <c r="J79" s="443"/>
      <c r="K79" s="443"/>
      <c r="L79" s="443"/>
      <c r="M79" s="443"/>
      <c r="N79" s="443"/>
      <c r="O79" s="443"/>
      <c r="P79" s="443"/>
      <c r="Q79" s="443"/>
      <c r="R79" s="443"/>
      <c r="S79" s="443"/>
      <c r="T79" s="443"/>
    </row>
    <row r="81" spans="5:20" x14ac:dyDescent="0.25">
      <c r="E81" s="443"/>
      <c r="F81" s="443"/>
      <c r="G81" s="443"/>
      <c r="H81" s="443"/>
      <c r="I81" s="443"/>
      <c r="J81" s="443"/>
      <c r="K81" s="443"/>
      <c r="L81" s="443"/>
      <c r="M81" s="443"/>
      <c r="N81" s="443"/>
      <c r="O81" s="443"/>
      <c r="P81" s="443"/>
      <c r="Q81" s="443"/>
      <c r="R81" s="443"/>
      <c r="S81" s="443"/>
      <c r="T81" s="443"/>
    </row>
    <row r="82" spans="5:20" x14ac:dyDescent="0.25">
      <c r="E82" s="443"/>
      <c r="F82" s="443"/>
      <c r="G82" s="443"/>
      <c r="H82" s="443"/>
      <c r="I82" s="443"/>
      <c r="J82" s="443"/>
      <c r="K82" s="443"/>
      <c r="L82" s="443"/>
      <c r="M82" s="443"/>
      <c r="N82" s="443"/>
      <c r="O82" s="443"/>
      <c r="P82" s="443"/>
      <c r="Q82" s="443"/>
      <c r="R82" s="443"/>
      <c r="S82" s="443"/>
      <c r="T82" s="443"/>
    </row>
    <row r="84" spans="5:20" x14ac:dyDescent="0.25">
      <c r="E84" s="438"/>
      <c r="F84" s="439"/>
      <c r="G84" s="439"/>
      <c r="H84" s="439"/>
      <c r="I84" s="439"/>
      <c r="J84" s="439"/>
      <c r="K84" s="439"/>
      <c r="L84" s="439"/>
      <c r="M84" s="439"/>
      <c r="N84" s="439"/>
      <c r="O84" s="439"/>
      <c r="P84" s="439"/>
      <c r="Q84" s="439"/>
      <c r="R84" s="439"/>
      <c r="S84" s="439"/>
      <c r="T84" s="439"/>
    </row>
    <row r="85" spans="5:20" x14ac:dyDescent="0.25">
      <c r="E85" s="439"/>
      <c r="F85" s="439"/>
      <c r="G85" s="439"/>
      <c r="H85" s="439"/>
      <c r="I85" s="439"/>
      <c r="J85" s="439"/>
      <c r="K85" s="439"/>
      <c r="L85" s="439"/>
      <c r="M85" s="439"/>
      <c r="N85" s="439"/>
      <c r="O85" s="439"/>
      <c r="P85" s="439"/>
      <c r="Q85" s="439"/>
      <c r="R85" s="439"/>
      <c r="S85" s="439"/>
      <c r="T85" s="439"/>
    </row>
    <row r="86" spans="5:20" ht="15" customHeight="1" x14ac:dyDescent="0.25"/>
    <row r="87" spans="5:20" x14ac:dyDescent="0.25">
      <c r="E87" s="438"/>
      <c r="F87" s="439"/>
      <c r="G87" s="439"/>
      <c r="H87" s="439"/>
      <c r="I87" s="439"/>
      <c r="J87" s="439"/>
      <c r="K87" s="439"/>
      <c r="L87" s="439"/>
      <c r="M87" s="439"/>
      <c r="N87" s="439"/>
      <c r="O87" s="439"/>
      <c r="P87" s="439"/>
      <c r="Q87" s="439"/>
      <c r="R87" s="439"/>
      <c r="S87" s="439"/>
      <c r="T87" s="439"/>
    </row>
    <row r="88" spans="5:20" x14ac:dyDescent="0.25">
      <c r="E88" s="439"/>
      <c r="F88" s="439"/>
      <c r="G88" s="439"/>
      <c r="H88" s="439"/>
      <c r="I88" s="439"/>
      <c r="J88" s="439"/>
      <c r="K88" s="439"/>
      <c r="L88" s="439"/>
      <c r="M88" s="439"/>
      <c r="N88" s="439"/>
      <c r="O88" s="439"/>
      <c r="P88" s="439"/>
      <c r="Q88" s="439"/>
      <c r="R88" s="439"/>
      <c r="S88" s="439"/>
      <c r="T88" s="439"/>
    </row>
    <row r="89" spans="5:20" ht="15" customHeight="1" x14ac:dyDescent="0.25"/>
    <row r="90" spans="5:20" x14ac:dyDescent="0.25">
      <c r="E90" s="438"/>
      <c r="F90" s="439"/>
      <c r="G90" s="439"/>
      <c r="H90" s="439"/>
      <c r="I90" s="439"/>
      <c r="J90" s="439"/>
      <c r="K90" s="439"/>
      <c r="L90" s="439"/>
      <c r="M90" s="439"/>
      <c r="N90" s="439"/>
      <c r="O90" s="439"/>
      <c r="P90" s="439"/>
      <c r="Q90" s="439"/>
      <c r="R90" s="439"/>
      <c r="S90" s="439"/>
      <c r="T90" s="439"/>
    </row>
    <row r="91" spans="5:20" x14ac:dyDescent="0.25">
      <c r="E91" s="439"/>
      <c r="F91" s="439"/>
      <c r="G91" s="439"/>
      <c r="H91" s="439"/>
      <c r="I91" s="439"/>
      <c r="J91" s="439"/>
      <c r="K91" s="439"/>
      <c r="L91" s="439"/>
      <c r="M91" s="439"/>
      <c r="N91" s="439"/>
      <c r="O91" s="439"/>
      <c r="P91" s="439"/>
      <c r="Q91" s="439"/>
      <c r="R91" s="439"/>
      <c r="S91" s="439"/>
      <c r="T91" s="439"/>
    </row>
    <row r="92" spans="5:20" ht="15" customHeight="1" x14ac:dyDescent="0.25"/>
    <row r="93" spans="5:20" x14ac:dyDescent="0.25">
      <c r="E93" s="438"/>
      <c r="F93" s="439"/>
      <c r="G93" s="439"/>
      <c r="H93" s="439"/>
      <c r="I93" s="439"/>
      <c r="J93" s="439"/>
      <c r="K93" s="439"/>
      <c r="L93" s="439"/>
      <c r="M93" s="439"/>
      <c r="N93" s="439"/>
      <c r="O93" s="439"/>
      <c r="P93" s="439"/>
      <c r="Q93" s="439"/>
      <c r="R93" s="439"/>
      <c r="S93" s="439"/>
      <c r="T93" s="439"/>
    </row>
    <row r="94" spans="5:20" x14ac:dyDescent="0.25">
      <c r="E94" s="439"/>
      <c r="F94" s="439"/>
      <c r="G94" s="439"/>
      <c r="H94" s="439"/>
      <c r="I94" s="439"/>
      <c r="J94" s="439"/>
      <c r="K94" s="439"/>
      <c r="L94" s="439"/>
      <c r="M94" s="439"/>
      <c r="N94" s="439"/>
      <c r="O94" s="439"/>
      <c r="P94" s="439"/>
      <c r="Q94" s="439"/>
      <c r="R94" s="439"/>
      <c r="S94" s="439"/>
      <c r="T94" s="439"/>
    </row>
    <row r="95" spans="5:20" ht="15" customHeight="1" x14ac:dyDescent="0.25"/>
    <row r="96" spans="5:20" x14ac:dyDescent="0.25">
      <c r="E96" s="438"/>
      <c r="F96" s="439"/>
      <c r="G96" s="439"/>
      <c r="H96" s="439"/>
      <c r="I96" s="439"/>
      <c r="J96" s="439"/>
      <c r="K96" s="439"/>
      <c r="L96" s="439"/>
      <c r="M96" s="439"/>
      <c r="N96" s="439"/>
      <c r="O96" s="439"/>
      <c r="P96" s="439"/>
      <c r="Q96" s="439"/>
      <c r="R96" s="439"/>
      <c r="S96" s="439"/>
      <c r="T96" s="439"/>
    </row>
    <row r="97" spans="5:20" x14ac:dyDescent="0.25">
      <c r="E97" s="439"/>
      <c r="F97" s="439"/>
      <c r="G97" s="439"/>
      <c r="H97" s="439"/>
      <c r="I97" s="439"/>
      <c r="J97" s="439"/>
      <c r="K97" s="439"/>
      <c r="L97" s="439"/>
      <c r="M97" s="439"/>
      <c r="N97" s="439"/>
      <c r="O97" s="439"/>
      <c r="P97" s="439"/>
      <c r="Q97" s="439"/>
      <c r="R97" s="439"/>
      <c r="S97" s="439"/>
      <c r="T97" s="439"/>
    </row>
    <row r="98" spans="5:20" ht="15" customHeight="1" x14ac:dyDescent="0.25"/>
    <row r="99" spans="5:20" x14ac:dyDescent="0.25">
      <c r="E99" s="438"/>
      <c r="F99" s="439"/>
      <c r="G99" s="439"/>
      <c r="H99" s="439"/>
      <c r="I99" s="439"/>
      <c r="J99" s="439"/>
      <c r="K99" s="439"/>
      <c r="L99" s="439"/>
      <c r="M99" s="439"/>
      <c r="N99" s="439"/>
      <c r="O99" s="439"/>
      <c r="P99" s="439"/>
      <c r="Q99" s="439"/>
      <c r="R99" s="439"/>
      <c r="S99" s="439"/>
      <c r="T99" s="439"/>
    </row>
    <row r="100" spans="5:20" x14ac:dyDescent="0.25">
      <c r="E100" s="439"/>
      <c r="F100" s="439"/>
      <c r="G100" s="439"/>
      <c r="H100" s="439"/>
      <c r="I100" s="439"/>
      <c r="J100" s="439"/>
      <c r="K100" s="439"/>
      <c r="L100" s="439"/>
      <c r="M100" s="439"/>
      <c r="N100" s="439"/>
      <c r="O100" s="439"/>
      <c r="P100" s="439"/>
      <c r="Q100" s="439"/>
      <c r="R100" s="439"/>
      <c r="S100" s="439"/>
      <c r="T100" s="439"/>
    </row>
    <row r="101" spans="5:20" ht="15" customHeight="1" x14ac:dyDescent="0.25"/>
    <row r="102" spans="5:20" x14ac:dyDescent="0.25">
      <c r="E102" s="438"/>
      <c r="F102" s="439"/>
      <c r="G102" s="439"/>
      <c r="H102" s="439"/>
      <c r="I102" s="439"/>
      <c r="J102" s="439"/>
      <c r="K102" s="439"/>
      <c r="L102" s="439"/>
      <c r="M102" s="439"/>
      <c r="N102" s="439"/>
      <c r="O102" s="439"/>
      <c r="P102" s="439"/>
      <c r="Q102" s="439"/>
      <c r="R102" s="439"/>
      <c r="S102" s="439"/>
      <c r="T102" s="439"/>
    </row>
    <row r="103" spans="5:20" x14ac:dyDescent="0.25">
      <c r="E103" s="439"/>
      <c r="F103" s="439"/>
      <c r="G103" s="439"/>
      <c r="H103" s="439"/>
      <c r="I103" s="439"/>
      <c r="J103" s="439"/>
      <c r="K103" s="439"/>
      <c r="L103" s="439"/>
      <c r="M103" s="439"/>
      <c r="N103" s="439"/>
      <c r="O103" s="439"/>
      <c r="P103" s="439"/>
      <c r="Q103" s="439"/>
      <c r="R103" s="439"/>
      <c r="S103" s="439"/>
      <c r="T103" s="439"/>
    </row>
    <row r="104" spans="5:20" ht="15" customHeight="1" x14ac:dyDescent="0.25"/>
    <row r="105" spans="5:20" x14ac:dyDescent="0.25">
      <c r="E105" s="438"/>
      <c r="F105" s="439"/>
      <c r="G105" s="439"/>
      <c r="H105" s="439"/>
      <c r="I105" s="439"/>
      <c r="J105" s="439"/>
      <c r="K105" s="439"/>
      <c r="L105" s="439"/>
      <c r="M105" s="439"/>
      <c r="N105" s="439"/>
      <c r="O105" s="439"/>
      <c r="P105" s="439"/>
      <c r="Q105" s="439"/>
      <c r="R105" s="439"/>
      <c r="S105" s="439"/>
      <c r="T105" s="439"/>
    </row>
    <row r="106" spans="5:20" x14ac:dyDescent="0.25">
      <c r="E106" s="439"/>
      <c r="F106" s="439"/>
      <c r="G106" s="439"/>
      <c r="H106" s="439"/>
      <c r="I106" s="439"/>
      <c r="J106" s="439"/>
      <c r="K106" s="439"/>
      <c r="L106" s="439"/>
      <c r="M106" s="439"/>
      <c r="N106" s="439"/>
      <c r="O106" s="439"/>
      <c r="P106" s="439"/>
      <c r="Q106" s="439"/>
      <c r="R106" s="439"/>
      <c r="S106" s="439"/>
      <c r="T106" s="439"/>
    </row>
    <row r="107" spans="5:20" ht="15" customHeight="1" x14ac:dyDescent="0.25"/>
    <row r="108" spans="5:20" x14ac:dyDescent="0.25">
      <c r="E108" s="438"/>
      <c r="F108" s="439"/>
      <c r="G108" s="439"/>
      <c r="H108" s="439"/>
      <c r="I108" s="439"/>
      <c r="J108" s="439"/>
      <c r="K108" s="439"/>
      <c r="L108" s="439"/>
      <c r="M108" s="439"/>
      <c r="N108" s="439"/>
      <c r="O108" s="439"/>
      <c r="P108" s="439"/>
      <c r="Q108" s="439"/>
      <c r="R108" s="439"/>
      <c r="S108" s="439"/>
      <c r="T108" s="439"/>
    </row>
    <row r="109" spans="5:20" x14ac:dyDescent="0.25">
      <c r="E109" s="439"/>
      <c r="F109" s="439"/>
      <c r="G109" s="439"/>
      <c r="H109" s="439"/>
      <c r="I109" s="439"/>
      <c r="J109" s="439"/>
      <c r="K109" s="439"/>
      <c r="L109" s="439"/>
      <c r="M109" s="439"/>
      <c r="N109" s="439"/>
      <c r="O109" s="439"/>
      <c r="P109" s="439"/>
      <c r="Q109" s="439"/>
      <c r="R109" s="439"/>
      <c r="S109" s="439"/>
      <c r="T109" s="439"/>
    </row>
    <row r="110" spans="5:20" ht="15" customHeight="1" x14ac:dyDescent="0.25"/>
    <row r="111" spans="5:20" x14ac:dyDescent="0.25">
      <c r="E111" s="438"/>
      <c r="F111" s="439"/>
      <c r="G111" s="439"/>
      <c r="H111" s="439"/>
      <c r="I111" s="439"/>
      <c r="J111" s="439"/>
      <c r="K111" s="439"/>
      <c r="L111" s="439"/>
      <c r="M111" s="439"/>
      <c r="N111" s="439"/>
      <c r="O111" s="439"/>
      <c r="P111" s="439"/>
      <c r="Q111" s="439"/>
      <c r="R111" s="439"/>
      <c r="S111" s="439"/>
      <c r="T111" s="439"/>
    </row>
    <row r="112" spans="5:20" x14ac:dyDescent="0.25">
      <c r="E112" s="439"/>
      <c r="F112" s="439"/>
      <c r="G112" s="439"/>
      <c r="H112" s="439"/>
      <c r="I112" s="439"/>
      <c r="J112" s="439"/>
      <c r="K112" s="439"/>
      <c r="L112" s="439"/>
      <c r="M112" s="439"/>
      <c r="N112" s="439"/>
      <c r="O112" s="439"/>
      <c r="P112" s="439"/>
      <c r="Q112" s="439"/>
      <c r="R112" s="439"/>
      <c r="S112" s="439"/>
      <c r="T112" s="439"/>
    </row>
  </sheetData>
  <mergeCells count="31">
    <mergeCell ref="E90:T91"/>
    <mergeCell ref="E93:T94"/>
    <mergeCell ref="E111:T112"/>
    <mergeCell ref="E96:T97"/>
    <mergeCell ref="E99:T100"/>
    <mergeCell ref="E102:T103"/>
    <mergeCell ref="E105:T106"/>
    <mergeCell ref="E108:T109"/>
    <mergeCell ref="W6:AC8"/>
    <mergeCell ref="B57:T62"/>
    <mergeCell ref="W31:AD69"/>
    <mergeCell ref="E87:T88"/>
    <mergeCell ref="E75:T76"/>
    <mergeCell ref="E78:T79"/>
    <mergeCell ref="E81:T82"/>
    <mergeCell ref="Y12:AE13"/>
    <mergeCell ref="Y15:AD16"/>
    <mergeCell ref="E24:T28"/>
    <mergeCell ref="B67:T67"/>
    <mergeCell ref="B6:T9"/>
    <mergeCell ref="B11:T15"/>
    <mergeCell ref="B3:T3"/>
    <mergeCell ref="E84:T85"/>
    <mergeCell ref="E48:T48"/>
    <mergeCell ref="E22:T23"/>
    <mergeCell ref="E30:T46"/>
    <mergeCell ref="E50:T51"/>
    <mergeCell ref="E72:T73"/>
    <mergeCell ref="B16:T17"/>
    <mergeCell ref="E20:T21"/>
    <mergeCell ref="E69:T7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D101"/>
  <sheetViews>
    <sheetView zoomScale="70" zoomScaleNormal="70" workbookViewId="0">
      <selection activeCell="L35" sqref="L35"/>
    </sheetView>
  </sheetViews>
  <sheetFormatPr defaultColWidth="9.140625" defaultRowHeight="15" x14ac:dyDescent="0.25"/>
  <cols>
    <col min="1" max="1" width="13.42578125" style="9" customWidth="1"/>
    <col min="2" max="2" width="24.140625" style="9" customWidth="1"/>
    <col min="3" max="3" width="18" style="9" customWidth="1"/>
    <col min="4" max="4" width="11.42578125" style="9" bestFit="1" customWidth="1"/>
    <col min="5" max="5" width="12.140625" style="9" bestFit="1" customWidth="1"/>
    <col min="6" max="6" width="24.5703125" style="9" customWidth="1"/>
    <col min="7" max="7" width="12.42578125" style="9" bestFit="1" customWidth="1"/>
    <col min="8" max="8" width="17.7109375" style="9" bestFit="1" customWidth="1"/>
    <col min="9" max="9" width="14" style="9" bestFit="1" customWidth="1"/>
    <col min="10" max="10" width="8.28515625" style="9" bestFit="1" customWidth="1"/>
    <col min="11" max="11" width="17.28515625" style="9" bestFit="1" customWidth="1"/>
    <col min="12" max="12" width="30.5703125" style="9" bestFit="1" customWidth="1"/>
    <col min="13" max="13" width="18.7109375" style="9" bestFit="1" customWidth="1"/>
    <col min="14" max="14" width="17.28515625" style="9" bestFit="1" customWidth="1"/>
    <col min="15" max="15" width="8.7109375" style="9" bestFit="1" customWidth="1"/>
    <col min="16" max="16" width="17.28515625" style="9" bestFit="1" customWidth="1"/>
    <col min="17" max="17" width="8.7109375" style="9" bestFit="1" customWidth="1"/>
    <col min="18" max="18" width="8.140625" style="9" bestFit="1" customWidth="1"/>
    <col min="19" max="19" width="9.7109375" style="9" bestFit="1" customWidth="1"/>
    <col min="20" max="22" width="14.85546875" style="9" bestFit="1" customWidth="1"/>
    <col min="23" max="23" width="18.85546875" style="9" bestFit="1" customWidth="1"/>
    <col min="24" max="24" width="8.140625" style="9" bestFit="1" customWidth="1"/>
    <col min="25" max="25" width="17.28515625" style="9" bestFit="1" customWidth="1"/>
    <col min="26" max="26" width="23.5703125" style="9" bestFit="1" customWidth="1"/>
    <col min="27" max="27" width="24.28515625" style="9" bestFit="1" customWidth="1"/>
    <col min="28" max="28" width="9.7109375" style="9" bestFit="1" customWidth="1"/>
    <col min="29" max="29" width="14.85546875" style="9" bestFit="1" customWidth="1"/>
    <col min="30" max="30" width="14" style="9" bestFit="1" customWidth="1"/>
    <col min="31" max="31" width="11.5703125" style="9" bestFit="1" customWidth="1"/>
    <col min="32" max="32" width="8.5703125" style="9" bestFit="1" customWidth="1"/>
    <col min="33" max="33" width="13" style="9" bestFit="1" customWidth="1"/>
    <col min="34" max="34" width="10.7109375" style="9" bestFit="1" customWidth="1"/>
    <col min="35" max="35" width="18.7109375" style="9" bestFit="1" customWidth="1"/>
    <col min="36" max="36" width="16.5703125" style="9" bestFit="1" customWidth="1"/>
    <col min="37" max="37" width="11.7109375" style="9" bestFit="1" customWidth="1"/>
    <col min="38" max="38" width="17.42578125" style="9" customWidth="1"/>
    <col min="39" max="39" width="15.5703125" style="9" customWidth="1"/>
    <col min="40" max="40" width="14" style="9" bestFit="1" customWidth="1"/>
    <col min="41" max="41" width="11.140625" style="9" bestFit="1" customWidth="1"/>
    <col min="42" max="42" width="8.5703125" style="9" customWidth="1"/>
    <col min="43" max="43" width="19.28515625" style="9" bestFit="1" customWidth="1"/>
    <col min="44" max="44" width="16.5703125" style="9" bestFit="1" customWidth="1"/>
    <col min="45" max="46" width="14.85546875" style="9" bestFit="1" customWidth="1"/>
    <col min="47" max="47" width="14" style="9" bestFit="1" customWidth="1"/>
    <col min="48" max="48" width="37.140625" style="9" bestFit="1" customWidth="1"/>
    <col min="49" max="50" width="14.85546875" style="9" bestFit="1" customWidth="1"/>
    <col min="51" max="51" width="15.7109375" style="9" bestFit="1" customWidth="1"/>
    <col min="52" max="52" width="9.140625" style="9"/>
    <col min="53" max="54" width="16.5703125" style="9" bestFit="1" customWidth="1"/>
    <col min="55" max="55" width="17.85546875" style="9" bestFit="1" customWidth="1"/>
    <col min="56" max="16384" width="9.140625" style="9"/>
  </cols>
  <sheetData>
    <row r="1" spans="1:51" x14ac:dyDescent="0.25">
      <c r="C1" s="17" t="s">
        <v>396</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66" t="s">
        <v>168</v>
      </c>
      <c r="L2" s="666"/>
      <c r="M2" s="666"/>
      <c r="N2" s="666"/>
      <c r="P2" s="668" t="s">
        <v>213</v>
      </c>
      <c r="Q2" s="668"/>
      <c r="R2" s="668"/>
      <c r="S2" s="668"/>
      <c r="T2" s="668"/>
      <c r="U2" s="668"/>
      <c r="V2" s="668"/>
      <c r="W2" s="668"/>
      <c r="Y2" s="670" t="s">
        <v>248</v>
      </c>
      <c r="Z2" s="670"/>
      <c r="AA2" s="670"/>
      <c r="AB2" s="670"/>
      <c r="AC2" s="670"/>
      <c r="AD2" s="670"/>
      <c r="AE2" s="670"/>
      <c r="AF2" s="670"/>
      <c r="AG2" s="670"/>
      <c r="AH2" s="670"/>
      <c r="AI2" s="670"/>
      <c r="AJ2" s="670"/>
      <c r="AK2" s="670"/>
      <c r="AL2" s="670"/>
      <c r="AM2" s="670"/>
      <c r="AN2" s="670"/>
      <c r="AO2" s="670"/>
      <c r="AQ2" s="664" t="s">
        <v>244</v>
      </c>
      <c r="AR2" s="664"/>
      <c r="AS2" s="664"/>
      <c r="AT2" s="664"/>
      <c r="AU2" s="664"/>
      <c r="AV2" s="664"/>
      <c r="AW2" s="664"/>
      <c r="AX2" s="664"/>
      <c r="AY2" s="664"/>
    </row>
    <row r="3" spans="1:51" ht="16.5" customHeight="1" thickTop="1" thickBot="1" x14ac:dyDescent="0.3">
      <c r="C3" s="17"/>
      <c r="K3" s="666"/>
      <c r="L3" s="666"/>
      <c r="M3" s="666"/>
      <c r="N3" s="666"/>
      <c r="P3" s="668"/>
      <c r="Q3" s="668"/>
      <c r="R3" s="668"/>
      <c r="S3" s="668"/>
      <c r="T3" s="668"/>
      <c r="U3" s="668"/>
      <c r="V3" s="668"/>
      <c r="W3" s="668"/>
      <c r="Y3" s="574" t="s">
        <v>188</v>
      </c>
      <c r="Z3" s="574" t="s">
        <v>214</v>
      </c>
      <c r="AA3" s="693" t="s">
        <v>215</v>
      </c>
      <c r="AB3" s="693"/>
      <c r="AC3" s="693"/>
      <c r="AD3" s="693"/>
      <c r="AE3" s="609" t="s">
        <v>216</v>
      </c>
      <c r="AF3" s="610"/>
      <c r="AG3" s="610"/>
      <c r="AH3" s="610"/>
      <c r="AI3" s="610"/>
      <c r="AJ3" s="610"/>
      <c r="AK3" s="675"/>
      <c r="AL3" s="609" t="s">
        <v>217</v>
      </c>
      <c r="AM3" s="675"/>
      <c r="AN3" s="676" t="s">
        <v>239</v>
      </c>
      <c r="AO3" s="676" t="s">
        <v>219</v>
      </c>
      <c r="AQ3" s="664"/>
      <c r="AR3" s="664"/>
      <c r="AS3" s="664"/>
      <c r="AT3" s="664"/>
      <c r="AU3" s="664"/>
      <c r="AV3" s="664"/>
      <c r="AW3" s="664"/>
      <c r="AX3" s="664"/>
      <c r="AY3" s="664"/>
    </row>
    <row r="4" spans="1:51" ht="16.5" customHeight="1" thickTop="1" thickBot="1" x14ac:dyDescent="0.3">
      <c r="A4" s="694" t="s">
        <v>70</v>
      </c>
      <c r="B4" s="695"/>
      <c r="C4" s="696"/>
      <c r="K4" s="667"/>
      <c r="L4" s="667"/>
      <c r="M4" s="667"/>
      <c r="N4" s="667"/>
      <c r="P4" s="669"/>
      <c r="Q4" s="669"/>
      <c r="R4" s="669"/>
      <c r="S4" s="669"/>
      <c r="T4" s="669"/>
      <c r="U4" s="669"/>
      <c r="V4" s="669"/>
      <c r="W4" s="669"/>
      <c r="Y4" s="574"/>
      <c r="Z4" s="574"/>
      <c r="AA4" s="676" t="s">
        <v>254</v>
      </c>
      <c r="AB4" s="676" t="s">
        <v>221</v>
      </c>
      <c r="AC4" s="574" t="s">
        <v>222</v>
      </c>
      <c r="AD4" s="574" t="s">
        <v>223</v>
      </c>
      <c r="AE4" s="693" t="s">
        <v>224</v>
      </c>
      <c r="AF4" s="693"/>
      <c r="AG4" s="693" t="s">
        <v>225</v>
      </c>
      <c r="AH4" s="693"/>
      <c r="AI4" s="693"/>
      <c r="AJ4" s="693"/>
      <c r="AK4" s="574" t="s">
        <v>226</v>
      </c>
      <c r="AL4" s="693" t="s">
        <v>227</v>
      </c>
      <c r="AM4" s="693" t="s">
        <v>228</v>
      </c>
      <c r="AN4" s="677"/>
      <c r="AO4" s="677"/>
      <c r="AQ4" s="665"/>
      <c r="AR4" s="665"/>
      <c r="AS4" s="665"/>
      <c r="AT4" s="665"/>
      <c r="AU4" s="665"/>
      <c r="AV4" s="665"/>
      <c r="AW4" s="665"/>
      <c r="AX4" s="665"/>
      <c r="AY4" s="665"/>
    </row>
    <row r="5" spans="1:51" ht="31.5" thickTop="1" thickBot="1" x14ac:dyDescent="0.3">
      <c r="A5" s="71" t="s">
        <v>6</v>
      </c>
      <c r="B5" s="71" t="s">
        <v>50</v>
      </c>
      <c r="C5" s="111" t="s">
        <v>51</v>
      </c>
      <c r="E5" s="717" t="s">
        <v>58</v>
      </c>
      <c r="F5" s="718"/>
      <c r="G5" s="63"/>
      <c r="H5" s="63"/>
      <c r="I5" s="63"/>
      <c r="K5" s="210" t="s">
        <v>55</v>
      </c>
      <c r="L5" s="210" t="s">
        <v>54</v>
      </c>
      <c r="M5" s="213" t="s">
        <v>168</v>
      </c>
      <c r="N5" s="214" t="s">
        <v>255</v>
      </c>
      <c r="O5" s="29"/>
      <c r="P5" s="210" t="s">
        <v>188</v>
      </c>
      <c r="Q5" s="210" t="s">
        <v>206</v>
      </c>
      <c r="R5" s="210" t="s">
        <v>207</v>
      </c>
      <c r="S5" s="210" t="s">
        <v>208</v>
      </c>
      <c r="T5" s="210" t="s">
        <v>209</v>
      </c>
      <c r="U5" s="214" t="s">
        <v>257</v>
      </c>
      <c r="V5" s="214" t="s">
        <v>256</v>
      </c>
      <c r="W5" s="210" t="s">
        <v>212</v>
      </c>
      <c r="Y5" s="574"/>
      <c r="Z5" s="574"/>
      <c r="AA5" s="679"/>
      <c r="AB5" s="679"/>
      <c r="AC5" s="693"/>
      <c r="AD5" s="693"/>
      <c r="AE5" s="214" t="s">
        <v>249</v>
      </c>
      <c r="AF5" s="214" t="s">
        <v>252</v>
      </c>
      <c r="AG5" s="210" t="s">
        <v>229</v>
      </c>
      <c r="AH5" s="214" t="s">
        <v>250</v>
      </c>
      <c r="AI5" s="214" t="s">
        <v>251</v>
      </c>
      <c r="AJ5" s="214" t="s">
        <v>253</v>
      </c>
      <c r="AK5" s="574"/>
      <c r="AL5" s="693"/>
      <c r="AM5" s="693"/>
      <c r="AN5" s="678"/>
      <c r="AO5" s="678"/>
      <c r="AQ5" s="210" t="s">
        <v>188</v>
      </c>
      <c r="AR5" s="215" t="s">
        <v>237</v>
      </c>
      <c r="AS5" s="214" t="s">
        <v>238</v>
      </c>
      <c r="AT5" s="214" t="s">
        <v>239</v>
      </c>
      <c r="AU5" s="214" t="s">
        <v>240</v>
      </c>
      <c r="AV5" s="214" t="s">
        <v>258</v>
      </c>
      <c r="AW5" s="210" t="s">
        <v>91</v>
      </c>
      <c r="AX5" s="214" t="s">
        <v>259</v>
      </c>
      <c r="AY5" s="399" t="s">
        <v>243</v>
      </c>
    </row>
    <row r="6" spans="1:51" ht="20.25" customHeight="1" thickTop="1" x14ac:dyDescent="0.3">
      <c r="A6" s="2" t="s">
        <v>7</v>
      </c>
      <c r="B6" s="5" t="s">
        <v>8</v>
      </c>
      <c r="C6" s="51">
        <f>'Input sheet'!E8</f>
        <v>8125</v>
      </c>
      <c r="E6" s="216" t="s">
        <v>56</v>
      </c>
      <c r="F6" s="217" t="s">
        <v>308</v>
      </c>
      <c r="K6" s="230" t="s">
        <v>26</v>
      </c>
      <c r="L6" s="104" t="s">
        <v>169</v>
      </c>
      <c r="M6" s="351">
        <f>(C9+C11)*C10</f>
        <v>68062500</v>
      </c>
      <c r="N6" s="702">
        <f>SUM(M6:M11)</f>
        <v>1662625000</v>
      </c>
      <c r="P6" s="219" t="s">
        <v>26</v>
      </c>
      <c r="Q6" s="44">
        <f>$C$32</f>
        <v>15</v>
      </c>
      <c r="R6" s="44">
        <f>$C$32</f>
        <v>15</v>
      </c>
      <c r="S6" s="44">
        <v>10</v>
      </c>
      <c r="T6" s="44">
        <f t="shared" ref="T6:T21" si="0">SQRT(Q6^2 + R6^2 - 2 * Q6 * R6 * COS(RADIANS(S6))) / 2</f>
        <v>1.3073361412148754</v>
      </c>
      <c r="U6" s="44">
        <f t="shared" ref="U6:U21" si="1">(T6/67.29)^3.79</f>
        <v>3.259682051177461E-7</v>
      </c>
      <c r="V6" s="44">
        <f t="shared" ref="V6:V21" si="2">(U6+U6)-(U6*U6)</f>
        <v>6.519363039802215E-7</v>
      </c>
      <c r="W6" s="460">
        <f>AVERAGE(V6:V11)</f>
        <v>3.5755232180880794E-3</v>
      </c>
      <c r="Y6" s="220" t="s">
        <v>26</v>
      </c>
      <c r="Z6" s="221" t="s">
        <v>231</v>
      </c>
      <c r="AA6" s="222" t="s">
        <v>246</v>
      </c>
      <c r="AB6" s="222">
        <f t="shared" ref="AB6:AB21" si="3">IF(TRIM(AA6)="Permitted or yield control",1, IF(TRIM(AA6)="Protected",0.01, 1))</f>
        <v>1</v>
      </c>
      <c r="AC6" s="222">
        <v>0.5</v>
      </c>
      <c r="AD6" s="222">
        <v>1</v>
      </c>
      <c r="AE6" s="222" t="s">
        <v>242</v>
      </c>
      <c r="AF6" s="222">
        <f t="shared" ref="AF6:AF21" si="4">IF(ISNUMBER(SEARCH("EBT", AE6)),$C$22, 0) + IF(ISNUMBER(SEARCH("WBT", AE6)),$C$23, 0)+IF(ISNUMBER(SEARCH("NBT", AE6)),$C$24, 0) + IF(ISNUMBER(SEARCH("SBT", AE6)),$C$25, 0)</f>
        <v>0</v>
      </c>
      <c r="AG6" s="222">
        <v>0</v>
      </c>
      <c r="AH6" s="222" t="s">
        <v>242</v>
      </c>
      <c r="AI6" s="222">
        <f t="shared" ref="AI6:AI21" si="5">IF(ISNUMBER(SEARCH("EBT", AH6)),$C$22, 0) + IF(ISNUMBER(SEARCH("WBT", AH6)),$C$23, 0)+IF(ISNUMBER(SEARCH("NBT", AH6)),$C$24, 0) + IF(ISNUMBER(SEARCH("SBT", AH6)),$C$25, 0)</f>
        <v>0</v>
      </c>
      <c r="AJ6" s="222">
        <f t="shared" ref="AJ6:AJ21" si="6">IF(AG6=0, 0, IF(AI6=1, 1, IF(AI6=2, 1*(1+0.75), 1*(1+0.75+0.5*(AI6-2)))))</f>
        <v>0</v>
      </c>
      <c r="AK6" s="222">
        <f t="shared" ref="AK6:AK21" si="7">IF(Z6="D",1,AF6+AJ6)</f>
        <v>1</v>
      </c>
      <c r="AL6" s="222" t="str">
        <f t="shared" ref="AL6:AL21" si="8">IF(Z6="D","NA",$C$29)</f>
        <v>NA</v>
      </c>
      <c r="AM6" s="222">
        <f t="shared" ref="AM6:AM21" si="9">IF(Z6="D", 1, 1-(((60-AL6)/60)*(0.1/0.15)))</f>
        <v>1</v>
      </c>
      <c r="AN6" s="223">
        <f t="shared" ref="AN6:AN21" si="10">IF(Z6="D",1,AD6*AK6*AM6)</f>
        <v>1</v>
      </c>
      <c r="AO6" s="672">
        <f>AVERAGE(AN6:AN11)</f>
        <v>1</v>
      </c>
      <c r="AP6" s="224"/>
      <c r="AQ6" s="229" t="s">
        <v>26</v>
      </c>
      <c r="AR6" s="234">
        <f t="shared" ref="AR6:AR21" si="11">M6</f>
        <v>68062500</v>
      </c>
      <c r="AS6" s="234">
        <f t="shared" ref="AS6:AS21" si="12">V6</f>
        <v>6.519363039802215E-7</v>
      </c>
      <c r="AT6" s="234">
        <f t="shared" ref="AT6:AT21" si="13">AN6</f>
        <v>1</v>
      </c>
      <c r="AU6" s="234">
        <v>1</v>
      </c>
      <c r="AV6" s="234">
        <f>AR6*AS6*AT6*AU6</f>
        <v>44.372414689653823</v>
      </c>
      <c r="AW6" s="460">
        <f>SUM(AV6:AV11)</f>
        <v>8736995.0470949225</v>
      </c>
      <c r="AX6" s="460">
        <f>100*EXP((-1/13700000)*AW6)</f>
        <v>52.848710947163404</v>
      </c>
      <c r="AY6" s="623">
        <f>100*EXP((-1/13700000)*((AW12+AW18+AW6)/3))</f>
        <v>10.466572974996788</v>
      </c>
    </row>
    <row r="7" spans="1:51" ht="18.75" x14ac:dyDescent="0.3">
      <c r="A7" s="3"/>
      <c r="B7" s="6" t="s">
        <v>9</v>
      </c>
      <c r="C7" s="52">
        <f>'Input sheet'!E9</f>
        <v>16250</v>
      </c>
      <c r="E7" s="110" t="s">
        <v>56</v>
      </c>
      <c r="F7" s="226" t="s">
        <v>309</v>
      </c>
      <c r="K7" s="239" t="s">
        <v>27</v>
      </c>
      <c r="L7" s="109" t="s">
        <v>170</v>
      </c>
      <c r="M7" s="351">
        <f>(C8+C11)*(C7+C9+C17)</f>
        <v>300125000</v>
      </c>
      <c r="N7" s="671"/>
      <c r="P7" s="238" t="s">
        <v>27</v>
      </c>
      <c r="Q7" s="45">
        <f>$C$29</f>
        <v>45</v>
      </c>
      <c r="R7" s="45">
        <f>$C$30</f>
        <v>20</v>
      </c>
      <c r="S7" s="45">
        <v>10</v>
      </c>
      <c r="T7" s="45">
        <f t="shared" si="0"/>
        <v>12.77053292327718</v>
      </c>
      <c r="U7" s="45">
        <f t="shared" si="1"/>
        <v>1.8390760451277139E-3</v>
      </c>
      <c r="V7" s="45">
        <f t="shared" si="2"/>
        <v>3.6747698895556653E-3</v>
      </c>
      <c r="W7" s="671"/>
      <c r="Y7" s="239" t="s">
        <v>27</v>
      </c>
      <c r="Z7" s="231" t="s">
        <v>231</v>
      </c>
      <c r="AA7" s="232" t="s">
        <v>246</v>
      </c>
      <c r="AB7" s="232">
        <f t="shared" si="3"/>
        <v>1</v>
      </c>
      <c r="AC7" s="232">
        <v>0.5</v>
      </c>
      <c r="AD7" s="232">
        <v>1</v>
      </c>
      <c r="AE7" s="232" t="s">
        <v>242</v>
      </c>
      <c r="AF7" s="232">
        <f t="shared" si="4"/>
        <v>0</v>
      </c>
      <c r="AG7" s="232">
        <v>0</v>
      </c>
      <c r="AH7" s="232" t="s">
        <v>242</v>
      </c>
      <c r="AI7" s="232">
        <f t="shared" si="5"/>
        <v>0</v>
      </c>
      <c r="AJ7" s="232">
        <f t="shared" si="6"/>
        <v>0</v>
      </c>
      <c r="AK7" s="232">
        <f t="shared" si="7"/>
        <v>1</v>
      </c>
      <c r="AL7" s="232" t="str">
        <f t="shared" si="8"/>
        <v>NA</v>
      </c>
      <c r="AM7" s="232">
        <f t="shared" si="9"/>
        <v>1</v>
      </c>
      <c r="AN7" s="233">
        <f t="shared" si="10"/>
        <v>1</v>
      </c>
      <c r="AO7" s="673"/>
      <c r="AP7" s="224"/>
      <c r="AQ7" s="238" t="s">
        <v>27</v>
      </c>
      <c r="AR7" s="234">
        <f t="shared" si="11"/>
        <v>300125000</v>
      </c>
      <c r="AS7" s="234">
        <f t="shared" si="12"/>
        <v>3.6747698895556653E-3</v>
      </c>
      <c r="AT7" s="234">
        <f t="shared" si="13"/>
        <v>1</v>
      </c>
      <c r="AU7" s="234">
        <v>1</v>
      </c>
      <c r="AV7" s="234">
        <f t="shared" ref="AV7:AV21" si="14">AR7*AS7*AT7*AU7</f>
        <v>1102890.313102894</v>
      </c>
      <c r="AW7" s="671"/>
      <c r="AX7" s="671"/>
      <c r="AY7" s="624"/>
    </row>
    <row r="8" spans="1:51" ht="19.5" thickBot="1" x14ac:dyDescent="0.35">
      <c r="A8" s="4"/>
      <c r="B8" s="7" t="s">
        <v>10</v>
      </c>
      <c r="C8" s="53">
        <f>'Input sheet'!E10</f>
        <v>8125</v>
      </c>
      <c r="E8" s="235" t="s">
        <v>57</v>
      </c>
      <c r="F8" s="236" t="s">
        <v>310</v>
      </c>
      <c r="K8" s="239" t="s">
        <v>22</v>
      </c>
      <c r="L8" s="109" t="s">
        <v>171</v>
      </c>
      <c r="M8" s="351">
        <f>(C8+C12)*(C11+C13+C14)</f>
        <v>463125000</v>
      </c>
      <c r="N8" s="671"/>
      <c r="P8" s="238" t="s">
        <v>22</v>
      </c>
      <c r="Q8" s="45">
        <f>$C$29</f>
        <v>45</v>
      </c>
      <c r="R8" s="232">
        <f>$C$31</f>
        <v>15</v>
      </c>
      <c r="S8" s="45">
        <v>10</v>
      </c>
      <c r="T8" s="45">
        <f t="shared" si="0"/>
        <v>15.169950011729762</v>
      </c>
      <c r="U8" s="45">
        <f t="shared" si="1"/>
        <v>3.5318107578168117E-3</v>
      </c>
      <c r="V8" s="45">
        <f t="shared" si="2"/>
        <v>7.051147828404593E-3</v>
      </c>
      <c r="W8" s="671"/>
      <c r="Y8" s="239" t="s">
        <v>22</v>
      </c>
      <c r="Z8" s="231" t="s">
        <v>231</v>
      </c>
      <c r="AA8" s="232" t="s">
        <v>246</v>
      </c>
      <c r="AB8" s="232">
        <f t="shared" si="3"/>
        <v>1</v>
      </c>
      <c r="AC8" s="232">
        <v>0.5</v>
      </c>
      <c r="AD8" s="232">
        <v>1</v>
      </c>
      <c r="AE8" s="232" t="s">
        <v>242</v>
      </c>
      <c r="AF8" s="232">
        <f t="shared" si="4"/>
        <v>0</v>
      </c>
      <c r="AG8" s="232">
        <v>0</v>
      </c>
      <c r="AH8" s="232" t="s">
        <v>242</v>
      </c>
      <c r="AI8" s="232">
        <f t="shared" si="5"/>
        <v>0</v>
      </c>
      <c r="AJ8" s="232">
        <f t="shared" si="6"/>
        <v>0</v>
      </c>
      <c r="AK8" s="232">
        <f t="shared" si="7"/>
        <v>1</v>
      </c>
      <c r="AL8" s="232" t="str">
        <f t="shared" si="8"/>
        <v>NA</v>
      </c>
      <c r="AM8" s="232">
        <f t="shared" si="9"/>
        <v>1</v>
      </c>
      <c r="AN8" s="233">
        <f t="shared" si="10"/>
        <v>1</v>
      </c>
      <c r="AO8" s="673"/>
      <c r="AQ8" s="238" t="s">
        <v>22</v>
      </c>
      <c r="AR8" s="234">
        <f t="shared" si="11"/>
        <v>463125000</v>
      </c>
      <c r="AS8" s="234">
        <f t="shared" si="12"/>
        <v>7.051147828404593E-3</v>
      </c>
      <c r="AT8" s="234">
        <f t="shared" si="13"/>
        <v>1</v>
      </c>
      <c r="AU8" s="234">
        <v>1</v>
      </c>
      <c r="AV8" s="234">
        <f t="shared" si="14"/>
        <v>3265562.8380298773</v>
      </c>
      <c r="AW8" s="671"/>
      <c r="AX8" s="671"/>
      <c r="AY8" s="624"/>
    </row>
    <row r="9" spans="1:51" ht="19.5" thickTop="1" x14ac:dyDescent="0.3">
      <c r="A9" s="2" t="s">
        <v>23</v>
      </c>
      <c r="B9" s="5" t="s">
        <v>14</v>
      </c>
      <c r="C9" s="54">
        <f>'Input sheet'!E11</f>
        <v>4125</v>
      </c>
      <c r="K9" s="239" t="s">
        <v>20</v>
      </c>
      <c r="L9" s="109" t="s">
        <v>139</v>
      </c>
      <c r="M9" s="351">
        <f>(C15+C17)*C16</f>
        <v>68062500</v>
      </c>
      <c r="N9" s="671"/>
      <c r="P9" s="238" t="s">
        <v>20</v>
      </c>
      <c r="Q9" s="45">
        <f>$C$32</f>
        <v>15</v>
      </c>
      <c r="R9" s="45">
        <f>$C$32</f>
        <v>15</v>
      </c>
      <c r="S9" s="45">
        <v>10</v>
      </c>
      <c r="T9" s="45">
        <f t="shared" si="0"/>
        <v>1.3073361412148754</v>
      </c>
      <c r="U9" s="45">
        <f t="shared" si="1"/>
        <v>3.259682051177461E-7</v>
      </c>
      <c r="V9" s="45">
        <f t="shared" si="2"/>
        <v>6.519363039802215E-7</v>
      </c>
      <c r="W9" s="671"/>
      <c r="Y9" s="239" t="s">
        <v>20</v>
      </c>
      <c r="Z9" s="231" t="s">
        <v>231</v>
      </c>
      <c r="AA9" s="232" t="s">
        <v>246</v>
      </c>
      <c r="AB9" s="232">
        <f t="shared" si="3"/>
        <v>1</v>
      </c>
      <c r="AC9" s="232">
        <v>0.5</v>
      </c>
      <c r="AD9" s="232">
        <v>1</v>
      </c>
      <c r="AE9" s="232" t="s">
        <v>242</v>
      </c>
      <c r="AF9" s="232">
        <f t="shared" si="4"/>
        <v>0</v>
      </c>
      <c r="AG9" s="232">
        <v>0</v>
      </c>
      <c r="AH9" s="232" t="s">
        <v>242</v>
      </c>
      <c r="AI9" s="232">
        <f t="shared" si="5"/>
        <v>0</v>
      </c>
      <c r="AJ9" s="232">
        <f t="shared" si="6"/>
        <v>0</v>
      </c>
      <c r="AK9" s="232">
        <f t="shared" si="7"/>
        <v>1</v>
      </c>
      <c r="AL9" s="232" t="str">
        <f t="shared" si="8"/>
        <v>NA</v>
      </c>
      <c r="AM9" s="232">
        <f t="shared" si="9"/>
        <v>1</v>
      </c>
      <c r="AN9" s="233">
        <f t="shared" si="10"/>
        <v>1</v>
      </c>
      <c r="AO9" s="673"/>
      <c r="AQ9" s="238" t="s">
        <v>20</v>
      </c>
      <c r="AR9" s="234">
        <f t="shared" si="11"/>
        <v>68062500</v>
      </c>
      <c r="AS9" s="234">
        <f t="shared" si="12"/>
        <v>6.519363039802215E-7</v>
      </c>
      <c r="AT9" s="234">
        <f t="shared" si="13"/>
        <v>1</v>
      </c>
      <c r="AU9" s="234">
        <v>1</v>
      </c>
      <c r="AV9" s="234">
        <f t="shared" si="14"/>
        <v>44.372414689653823</v>
      </c>
      <c r="AW9" s="671"/>
      <c r="AX9" s="671"/>
      <c r="AY9" s="624"/>
    </row>
    <row r="10" spans="1:51" ht="18.75" x14ac:dyDescent="0.3">
      <c r="A10" s="3"/>
      <c r="B10" s="6" t="s">
        <v>15</v>
      </c>
      <c r="C10" s="52">
        <f>'Input sheet'!E12</f>
        <v>8250</v>
      </c>
      <c r="K10" s="239" t="s">
        <v>28</v>
      </c>
      <c r="L10" s="109" t="s">
        <v>172</v>
      </c>
      <c r="M10" s="351">
        <f>(C14+C17)*(C15+C13+C11)</f>
        <v>300125000</v>
      </c>
      <c r="N10" s="671"/>
      <c r="P10" s="238" t="s">
        <v>28</v>
      </c>
      <c r="Q10" s="45">
        <f>$C$29</f>
        <v>45</v>
      </c>
      <c r="R10" s="45">
        <f>$C$30</f>
        <v>20</v>
      </c>
      <c r="S10" s="45">
        <v>10</v>
      </c>
      <c r="T10" s="45">
        <f t="shared" si="0"/>
        <v>12.77053292327718</v>
      </c>
      <c r="U10" s="45">
        <f t="shared" si="1"/>
        <v>1.8390760451277139E-3</v>
      </c>
      <c r="V10" s="45">
        <f t="shared" si="2"/>
        <v>3.6747698895556653E-3</v>
      </c>
      <c r="W10" s="671"/>
      <c r="Y10" s="239" t="s">
        <v>28</v>
      </c>
      <c r="Z10" s="231" t="s">
        <v>231</v>
      </c>
      <c r="AA10" s="232" t="s">
        <v>246</v>
      </c>
      <c r="AB10" s="232">
        <f t="shared" si="3"/>
        <v>1</v>
      </c>
      <c r="AC10" s="232">
        <v>0.5</v>
      </c>
      <c r="AD10" s="232">
        <v>1</v>
      </c>
      <c r="AE10" s="232" t="s">
        <v>242</v>
      </c>
      <c r="AF10" s="232">
        <f t="shared" si="4"/>
        <v>0</v>
      </c>
      <c r="AG10" s="232">
        <v>0</v>
      </c>
      <c r="AH10" s="232" t="s">
        <v>242</v>
      </c>
      <c r="AI10" s="232">
        <f t="shared" si="5"/>
        <v>0</v>
      </c>
      <c r="AJ10" s="232">
        <f t="shared" si="6"/>
        <v>0</v>
      </c>
      <c r="AK10" s="232">
        <f t="shared" si="7"/>
        <v>1</v>
      </c>
      <c r="AL10" s="232" t="str">
        <f t="shared" si="8"/>
        <v>NA</v>
      </c>
      <c r="AM10" s="232">
        <f t="shared" si="9"/>
        <v>1</v>
      </c>
      <c r="AN10" s="233">
        <f t="shared" si="10"/>
        <v>1</v>
      </c>
      <c r="AO10" s="673"/>
      <c r="AQ10" s="238" t="s">
        <v>28</v>
      </c>
      <c r="AR10" s="234">
        <f t="shared" si="11"/>
        <v>300125000</v>
      </c>
      <c r="AS10" s="234">
        <f t="shared" si="12"/>
        <v>3.6747698895556653E-3</v>
      </c>
      <c r="AT10" s="234">
        <f t="shared" si="13"/>
        <v>1</v>
      </c>
      <c r="AU10" s="234">
        <v>1</v>
      </c>
      <c r="AV10" s="234">
        <f t="shared" si="14"/>
        <v>1102890.313102894</v>
      </c>
      <c r="AW10" s="671"/>
      <c r="AX10" s="671"/>
      <c r="AY10" s="624"/>
    </row>
    <row r="11" spans="1:51" ht="19.5" thickBot="1" x14ac:dyDescent="0.35">
      <c r="A11" s="4"/>
      <c r="B11" s="7" t="s">
        <v>16</v>
      </c>
      <c r="C11" s="53">
        <f>'Input sheet'!E13</f>
        <v>4125</v>
      </c>
      <c r="K11" s="359" t="s">
        <v>21</v>
      </c>
      <c r="L11" s="347" t="s">
        <v>173</v>
      </c>
      <c r="M11" s="360">
        <f>(C6+C14)*(C7+C8+C17)</f>
        <v>463125000</v>
      </c>
      <c r="N11" s="671"/>
      <c r="P11" s="361" t="s">
        <v>21</v>
      </c>
      <c r="Q11" s="45">
        <f>$C$29</f>
        <v>45</v>
      </c>
      <c r="R11" s="45">
        <f>$C$31</f>
        <v>15</v>
      </c>
      <c r="S11" s="45">
        <v>10</v>
      </c>
      <c r="T11" s="45">
        <f t="shared" si="0"/>
        <v>15.169950011729762</v>
      </c>
      <c r="U11" s="45">
        <f t="shared" si="1"/>
        <v>3.5318107578168117E-3</v>
      </c>
      <c r="V11" s="45">
        <f t="shared" si="2"/>
        <v>7.051147828404593E-3</v>
      </c>
      <c r="W11" s="671"/>
      <c r="Y11" s="359" t="s">
        <v>21</v>
      </c>
      <c r="Z11" s="231" t="s">
        <v>231</v>
      </c>
      <c r="AA11" s="249" t="s">
        <v>246</v>
      </c>
      <c r="AB11" s="249">
        <f t="shared" si="3"/>
        <v>1</v>
      </c>
      <c r="AC11" s="249">
        <v>0.5</v>
      </c>
      <c r="AD11" s="249">
        <v>1</v>
      </c>
      <c r="AE11" s="249" t="s">
        <v>242</v>
      </c>
      <c r="AF11" s="249">
        <f t="shared" si="4"/>
        <v>0</v>
      </c>
      <c r="AG11" s="249">
        <v>0</v>
      </c>
      <c r="AH11" s="249" t="s">
        <v>242</v>
      </c>
      <c r="AI11" s="249">
        <f t="shared" si="5"/>
        <v>0</v>
      </c>
      <c r="AJ11" s="249">
        <f t="shared" si="6"/>
        <v>0</v>
      </c>
      <c r="AK11" s="249">
        <f t="shared" si="7"/>
        <v>1</v>
      </c>
      <c r="AL11" s="249" t="str">
        <f t="shared" si="8"/>
        <v>NA</v>
      </c>
      <c r="AM11" s="249">
        <f t="shared" si="9"/>
        <v>1</v>
      </c>
      <c r="AN11" s="250">
        <f t="shared" si="10"/>
        <v>1</v>
      </c>
      <c r="AO11" s="674"/>
      <c r="AQ11" s="361" t="s">
        <v>21</v>
      </c>
      <c r="AR11" s="350">
        <f t="shared" si="11"/>
        <v>463125000</v>
      </c>
      <c r="AS11" s="350">
        <f t="shared" si="12"/>
        <v>7.051147828404593E-3</v>
      </c>
      <c r="AT11" s="350">
        <f t="shared" si="13"/>
        <v>1</v>
      </c>
      <c r="AU11" s="350">
        <v>1</v>
      </c>
      <c r="AV11" s="350">
        <f t="shared" si="14"/>
        <v>3265562.8380298773</v>
      </c>
      <c r="AW11" s="461"/>
      <c r="AX11" s="461"/>
      <c r="AY11" s="624"/>
    </row>
    <row r="12" spans="1:51" ht="19.5" thickTop="1" x14ac:dyDescent="0.3">
      <c r="A12" s="2" t="s">
        <v>24</v>
      </c>
      <c r="B12" s="5" t="s">
        <v>11</v>
      </c>
      <c r="C12" s="54">
        <f>'Input sheet'!E14</f>
        <v>8125</v>
      </c>
      <c r="K12" s="332" t="s">
        <v>26</v>
      </c>
      <c r="L12" s="104" t="s">
        <v>174</v>
      </c>
      <c r="M12" s="357">
        <f>(C9+C11)*(C7+C8+C17)</f>
        <v>235125000</v>
      </c>
      <c r="N12" s="460">
        <f>SUM(M12:M17)</f>
        <v>1534625000</v>
      </c>
      <c r="P12" s="254" t="s">
        <v>26</v>
      </c>
      <c r="Q12" s="44">
        <f>$C$29</f>
        <v>45</v>
      </c>
      <c r="R12" s="44">
        <f t="shared" ref="R12:R18" si="15">$C$32</f>
        <v>15</v>
      </c>
      <c r="S12" s="44">
        <v>45</v>
      </c>
      <c r="T12" s="44">
        <f t="shared" si="0"/>
        <v>17.995873453365363</v>
      </c>
      <c r="U12" s="44">
        <f t="shared" si="1"/>
        <v>6.7479662925189346E-3</v>
      </c>
      <c r="V12" s="44">
        <f t="shared" si="2"/>
        <v>1.3450397535952898E-2</v>
      </c>
      <c r="W12" s="460">
        <f>AVERAGE(V12:V17)</f>
        <v>9.2841651828535748E-3</v>
      </c>
      <c r="Y12" s="332" t="s">
        <v>26</v>
      </c>
      <c r="Z12" s="333" t="s">
        <v>232</v>
      </c>
      <c r="AA12" s="222" t="s">
        <v>195</v>
      </c>
      <c r="AB12" s="222">
        <f t="shared" si="3"/>
        <v>0.01</v>
      </c>
      <c r="AC12" s="222">
        <v>0.5</v>
      </c>
      <c r="AD12" s="222">
        <v>0.505</v>
      </c>
      <c r="AE12" s="222">
        <v>0</v>
      </c>
      <c r="AF12" s="222">
        <f t="shared" si="4"/>
        <v>0</v>
      </c>
      <c r="AG12" s="222">
        <v>1</v>
      </c>
      <c r="AH12" s="222" t="s">
        <v>9</v>
      </c>
      <c r="AI12" s="222">
        <f t="shared" si="5"/>
        <v>2</v>
      </c>
      <c r="AJ12" s="222">
        <f t="shared" si="6"/>
        <v>1.75</v>
      </c>
      <c r="AK12" s="222">
        <f t="shared" si="7"/>
        <v>1.75</v>
      </c>
      <c r="AL12" s="222">
        <f t="shared" si="8"/>
        <v>45</v>
      </c>
      <c r="AM12" s="222">
        <f t="shared" si="9"/>
        <v>0.83333333333333326</v>
      </c>
      <c r="AN12" s="223">
        <f t="shared" si="10"/>
        <v>0.73645833333333333</v>
      </c>
      <c r="AO12" s="672">
        <f>AVERAGE(AN12:AN17)</f>
        <v>1.0520833333333333</v>
      </c>
      <c r="AQ12" s="254" t="s">
        <v>26</v>
      </c>
      <c r="AR12" s="225">
        <f t="shared" si="11"/>
        <v>235125000</v>
      </c>
      <c r="AS12" s="225">
        <f t="shared" si="12"/>
        <v>1.3450397535952898E-2</v>
      </c>
      <c r="AT12" s="225">
        <f t="shared" si="13"/>
        <v>0.73645833333333333</v>
      </c>
      <c r="AU12" s="225">
        <v>1</v>
      </c>
      <c r="AV12" s="225">
        <f t="shared" si="14"/>
        <v>2329067.6848886814</v>
      </c>
      <c r="AW12" s="460">
        <f>SUM(AV12:AV17)</f>
        <v>12975059.098316507</v>
      </c>
      <c r="AX12" s="460">
        <f>100*EXP((-1/13700000)*AW12)</f>
        <v>38.787017117910516</v>
      </c>
      <c r="AY12" s="624"/>
    </row>
    <row r="13" spans="1:51" ht="18.75" x14ac:dyDescent="0.3">
      <c r="A13" s="3"/>
      <c r="B13" s="6" t="s">
        <v>12</v>
      </c>
      <c r="C13" s="52">
        <f>'Input sheet'!E15</f>
        <v>16250</v>
      </c>
      <c r="K13" s="255" t="s">
        <v>27</v>
      </c>
      <c r="L13" s="353" t="s">
        <v>175</v>
      </c>
      <c r="M13" s="358">
        <f>(C11+C8)*(C12+C13+C14)</f>
        <v>398125000</v>
      </c>
      <c r="N13" s="671"/>
      <c r="P13" s="257" t="s">
        <v>27</v>
      </c>
      <c r="Q13" s="45">
        <f>$C$29</f>
        <v>45</v>
      </c>
      <c r="R13" s="45">
        <f t="shared" si="15"/>
        <v>15</v>
      </c>
      <c r="S13" s="45">
        <v>45</v>
      </c>
      <c r="T13" s="45">
        <f t="shared" si="0"/>
        <v>17.995873453365363</v>
      </c>
      <c r="U13" s="45">
        <f t="shared" si="1"/>
        <v>6.7479662925189346E-3</v>
      </c>
      <c r="V13" s="45">
        <f t="shared" si="2"/>
        <v>1.3450397535952898E-2</v>
      </c>
      <c r="W13" s="671"/>
      <c r="Y13" s="255" t="s">
        <v>27</v>
      </c>
      <c r="Z13" s="336" t="s">
        <v>232</v>
      </c>
      <c r="AA13" s="232" t="s">
        <v>195</v>
      </c>
      <c r="AB13" s="232">
        <f t="shared" si="3"/>
        <v>0.01</v>
      </c>
      <c r="AC13" s="232">
        <v>0.5</v>
      </c>
      <c r="AD13" s="232">
        <v>0.505</v>
      </c>
      <c r="AE13" s="232">
        <v>0</v>
      </c>
      <c r="AF13" s="232">
        <f t="shared" si="4"/>
        <v>0</v>
      </c>
      <c r="AG13" s="232">
        <v>1</v>
      </c>
      <c r="AH13" s="232" t="s">
        <v>12</v>
      </c>
      <c r="AI13" s="232">
        <f t="shared" si="5"/>
        <v>2</v>
      </c>
      <c r="AJ13" s="232">
        <f t="shared" si="6"/>
        <v>1.75</v>
      </c>
      <c r="AK13" s="232">
        <f t="shared" si="7"/>
        <v>1.75</v>
      </c>
      <c r="AL13" s="232">
        <f t="shared" si="8"/>
        <v>45</v>
      </c>
      <c r="AM13" s="232">
        <f t="shared" si="9"/>
        <v>0.83333333333333326</v>
      </c>
      <c r="AN13" s="233">
        <f t="shared" si="10"/>
        <v>0.73645833333333333</v>
      </c>
      <c r="AO13" s="673"/>
      <c r="AQ13" s="257" t="s">
        <v>27</v>
      </c>
      <c r="AR13" s="258">
        <f t="shared" si="11"/>
        <v>398125000</v>
      </c>
      <c r="AS13" s="258">
        <f t="shared" si="12"/>
        <v>1.3450397535952898E-2</v>
      </c>
      <c r="AT13" s="258">
        <f t="shared" si="13"/>
        <v>0.73645833333333333</v>
      </c>
      <c r="AU13" s="258">
        <v>1</v>
      </c>
      <c r="AV13" s="258">
        <f t="shared" si="14"/>
        <v>3943689.8332644603</v>
      </c>
      <c r="AW13" s="671"/>
      <c r="AX13" s="671"/>
      <c r="AY13" s="624"/>
    </row>
    <row r="14" spans="1:51" ht="19.5" thickBot="1" x14ac:dyDescent="0.35">
      <c r="A14" s="4"/>
      <c r="B14" s="7" t="s">
        <v>13</v>
      </c>
      <c r="C14" s="53">
        <f>'Input sheet'!E16</f>
        <v>8125</v>
      </c>
      <c r="K14" s="260" t="s">
        <v>22</v>
      </c>
      <c r="L14" s="109" t="s">
        <v>176</v>
      </c>
      <c r="M14" s="351">
        <f>C10*(C8+C12)</f>
        <v>134062500</v>
      </c>
      <c r="N14" s="671"/>
      <c r="P14" s="259" t="s">
        <v>22</v>
      </c>
      <c r="Q14" s="45">
        <f>$C$33</f>
        <v>25</v>
      </c>
      <c r="R14" s="45">
        <f t="shared" si="15"/>
        <v>15</v>
      </c>
      <c r="S14" s="45">
        <v>45</v>
      </c>
      <c r="T14" s="45">
        <f t="shared" si="0"/>
        <v>8.9396576292116645</v>
      </c>
      <c r="U14" s="45">
        <f t="shared" si="1"/>
        <v>4.7596350895839364E-4</v>
      </c>
      <c r="V14" s="45">
        <f t="shared" si="2"/>
        <v>9.5170047665492732E-4</v>
      </c>
      <c r="W14" s="671"/>
      <c r="Y14" s="260" t="s">
        <v>22</v>
      </c>
      <c r="Z14" s="336" t="s">
        <v>232</v>
      </c>
      <c r="AA14" s="232" t="s">
        <v>195</v>
      </c>
      <c r="AB14" s="232">
        <f t="shared" si="3"/>
        <v>0.01</v>
      </c>
      <c r="AC14" s="232">
        <v>0.5</v>
      </c>
      <c r="AD14" s="232">
        <v>0.505</v>
      </c>
      <c r="AE14" s="232" t="s">
        <v>233</v>
      </c>
      <c r="AF14" s="232">
        <f t="shared" si="4"/>
        <v>4</v>
      </c>
      <c r="AG14" s="232">
        <v>0</v>
      </c>
      <c r="AH14" s="232" t="s">
        <v>15</v>
      </c>
      <c r="AI14" s="232">
        <f t="shared" si="5"/>
        <v>1</v>
      </c>
      <c r="AJ14" s="232">
        <f t="shared" si="6"/>
        <v>0</v>
      </c>
      <c r="AK14" s="232">
        <f t="shared" si="7"/>
        <v>4</v>
      </c>
      <c r="AL14" s="232">
        <f t="shared" si="8"/>
        <v>45</v>
      </c>
      <c r="AM14" s="232">
        <f t="shared" si="9"/>
        <v>0.83333333333333326</v>
      </c>
      <c r="AN14" s="233">
        <f t="shared" si="10"/>
        <v>1.6833333333333331</v>
      </c>
      <c r="AO14" s="673"/>
      <c r="AQ14" s="259" t="s">
        <v>22</v>
      </c>
      <c r="AR14" s="234">
        <f t="shared" si="11"/>
        <v>134062500</v>
      </c>
      <c r="AS14" s="234">
        <f t="shared" si="12"/>
        <v>9.5170047665492732E-4</v>
      </c>
      <c r="AT14" s="234">
        <f t="shared" si="13"/>
        <v>1.6833333333333331</v>
      </c>
      <c r="AU14" s="234">
        <v>1</v>
      </c>
      <c r="AV14" s="234">
        <f t="shared" si="14"/>
        <v>214772.03100511114</v>
      </c>
      <c r="AW14" s="671"/>
      <c r="AX14" s="671"/>
      <c r="AY14" s="624"/>
    </row>
    <row r="15" spans="1:51" ht="19.5" thickTop="1" x14ac:dyDescent="0.3">
      <c r="A15" s="2" t="s">
        <v>25</v>
      </c>
      <c r="B15" s="5" t="s">
        <v>17</v>
      </c>
      <c r="C15" s="54">
        <f>'Input sheet'!E17</f>
        <v>4125</v>
      </c>
      <c r="K15" s="260" t="s">
        <v>20</v>
      </c>
      <c r="L15" s="109" t="s">
        <v>177</v>
      </c>
      <c r="M15" s="351">
        <f>(C15+C17)*(C13+C14+C11)</f>
        <v>235125000</v>
      </c>
      <c r="N15" s="671"/>
      <c r="P15" s="259" t="s">
        <v>20</v>
      </c>
      <c r="Q15" s="45">
        <f>$C$29</f>
        <v>45</v>
      </c>
      <c r="R15" s="45">
        <f t="shared" si="15"/>
        <v>15</v>
      </c>
      <c r="S15" s="45">
        <v>45</v>
      </c>
      <c r="T15" s="45">
        <f t="shared" si="0"/>
        <v>17.995873453365363</v>
      </c>
      <c r="U15" s="45">
        <f t="shared" si="1"/>
        <v>6.7479662925189346E-3</v>
      </c>
      <c r="V15" s="45">
        <f t="shared" si="2"/>
        <v>1.3450397535952898E-2</v>
      </c>
      <c r="W15" s="671"/>
      <c r="Y15" s="260" t="s">
        <v>20</v>
      </c>
      <c r="Z15" s="336" t="s">
        <v>232</v>
      </c>
      <c r="AA15" s="232" t="s">
        <v>195</v>
      </c>
      <c r="AB15" s="232">
        <f t="shared" si="3"/>
        <v>0.01</v>
      </c>
      <c r="AC15" s="232">
        <v>0.5</v>
      </c>
      <c r="AD15" s="232">
        <v>0.505</v>
      </c>
      <c r="AE15" s="232">
        <v>0</v>
      </c>
      <c r="AF15" s="232">
        <f t="shared" si="4"/>
        <v>0</v>
      </c>
      <c r="AG15" s="232">
        <v>1</v>
      </c>
      <c r="AH15" s="232" t="s">
        <v>12</v>
      </c>
      <c r="AI15" s="232">
        <f t="shared" si="5"/>
        <v>2</v>
      </c>
      <c r="AJ15" s="232">
        <f t="shared" si="6"/>
        <v>1.75</v>
      </c>
      <c r="AK15" s="232">
        <f t="shared" si="7"/>
        <v>1.75</v>
      </c>
      <c r="AL15" s="232">
        <f t="shared" si="8"/>
        <v>45</v>
      </c>
      <c r="AM15" s="232">
        <f t="shared" si="9"/>
        <v>0.83333333333333326</v>
      </c>
      <c r="AN15" s="233">
        <f t="shared" si="10"/>
        <v>0.73645833333333333</v>
      </c>
      <c r="AO15" s="673"/>
      <c r="AQ15" s="259" t="s">
        <v>20</v>
      </c>
      <c r="AR15" s="234">
        <f t="shared" si="11"/>
        <v>235125000</v>
      </c>
      <c r="AS15" s="234">
        <f t="shared" si="12"/>
        <v>1.3450397535952898E-2</v>
      </c>
      <c r="AT15" s="234">
        <f t="shared" si="13"/>
        <v>0.73645833333333333</v>
      </c>
      <c r="AU15" s="234">
        <v>1</v>
      </c>
      <c r="AV15" s="234">
        <f t="shared" si="14"/>
        <v>2329067.6848886814</v>
      </c>
      <c r="AW15" s="671"/>
      <c r="AX15" s="671"/>
      <c r="AY15" s="624"/>
    </row>
    <row r="16" spans="1:51" ht="18.75" x14ac:dyDescent="0.3">
      <c r="A16" s="3"/>
      <c r="B16" s="6" t="s">
        <v>18</v>
      </c>
      <c r="C16" s="52">
        <f>'Input sheet'!E18</f>
        <v>8250</v>
      </c>
      <c r="K16" s="260" t="s">
        <v>28</v>
      </c>
      <c r="L16" s="109" t="s">
        <v>178</v>
      </c>
      <c r="M16" s="351">
        <f>(C17+C14)*(C6+C7+C8)</f>
        <v>398125000</v>
      </c>
      <c r="N16" s="671"/>
      <c r="P16" s="259" t="s">
        <v>28</v>
      </c>
      <c r="Q16" s="45">
        <f>$C$29</f>
        <v>45</v>
      </c>
      <c r="R16" s="45">
        <f t="shared" si="15"/>
        <v>15</v>
      </c>
      <c r="S16" s="45">
        <v>45</v>
      </c>
      <c r="T16" s="45">
        <f t="shared" si="0"/>
        <v>17.995873453365363</v>
      </c>
      <c r="U16" s="45">
        <f t="shared" si="1"/>
        <v>6.7479662925189346E-3</v>
      </c>
      <c r="V16" s="45">
        <f t="shared" si="2"/>
        <v>1.3450397535952898E-2</v>
      </c>
      <c r="W16" s="671"/>
      <c r="Y16" s="260" t="s">
        <v>28</v>
      </c>
      <c r="Z16" s="336" t="s">
        <v>232</v>
      </c>
      <c r="AA16" s="232" t="s">
        <v>195</v>
      </c>
      <c r="AB16" s="232">
        <f t="shared" si="3"/>
        <v>0.01</v>
      </c>
      <c r="AC16" s="232">
        <v>0.5</v>
      </c>
      <c r="AD16" s="232">
        <v>0.505</v>
      </c>
      <c r="AE16" s="232">
        <v>0</v>
      </c>
      <c r="AF16" s="232">
        <f t="shared" si="4"/>
        <v>0</v>
      </c>
      <c r="AG16" s="232">
        <v>1</v>
      </c>
      <c r="AH16" s="232" t="s">
        <v>9</v>
      </c>
      <c r="AI16" s="232">
        <f t="shared" si="5"/>
        <v>2</v>
      </c>
      <c r="AJ16" s="232">
        <f t="shared" si="6"/>
        <v>1.75</v>
      </c>
      <c r="AK16" s="232">
        <f t="shared" si="7"/>
        <v>1.75</v>
      </c>
      <c r="AL16" s="232">
        <f t="shared" si="8"/>
        <v>45</v>
      </c>
      <c r="AM16" s="232">
        <f t="shared" si="9"/>
        <v>0.83333333333333326</v>
      </c>
      <c r="AN16" s="233">
        <f t="shared" si="10"/>
        <v>0.73645833333333333</v>
      </c>
      <c r="AO16" s="673"/>
      <c r="AQ16" s="259" t="s">
        <v>28</v>
      </c>
      <c r="AR16" s="234">
        <f t="shared" si="11"/>
        <v>398125000</v>
      </c>
      <c r="AS16" s="234">
        <f t="shared" si="12"/>
        <v>1.3450397535952898E-2</v>
      </c>
      <c r="AT16" s="234">
        <f t="shared" si="13"/>
        <v>0.73645833333333333</v>
      </c>
      <c r="AU16" s="234">
        <v>1</v>
      </c>
      <c r="AV16" s="234">
        <f t="shared" si="14"/>
        <v>3943689.8332644603</v>
      </c>
      <c r="AW16" s="671"/>
      <c r="AX16" s="671"/>
      <c r="AY16" s="624"/>
    </row>
    <row r="17" spans="1:51" ht="19.5" thickBot="1" x14ac:dyDescent="0.35">
      <c r="A17" s="4"/>
      <c r="B17" s="7" t="s">
        <v>19</v>
      </c>
      <c r="C17" s="53">
        <f>'Input sheet'!E19</f>
        <v>4125</v>
      </c>
      <c r="K17" s="356" t="s">
        <v>21</v>
      </c>
      <c r="L17" s="347" t="s">
        <v>179</v>
      </c>
      <c r="M17" s="360">
        <f>(C6+C14)*C16</f>
        <v>134062500</v>
      </c>
      <c r="N17" s="671"/>
      <c r="P17" s="263" t="s">
        <v>21</v>
      </c>
      <c r="Q17" s="46">
        <f>$C$33</f>
        <v>25</v>
      </c>
      <c r="R17" s="46">
        <f t="shared" si="15"/>
        <v>15</v>
      </c>
      <c r="S17" s="46">
        <v>45</v>
      </c>
      <c r="T17" s="46">
        <f t="shared" si="0"/>
        <v>8.9396576292116645</v>
      </c>
      <c r="U17" s="46">
        <f t="shared" si="1"/>
        <v>4.7596350895839364E-4</v>
      </c>
      <c r="V17" s="46">
        <f t="shared" si="2"/>
        <v>9.5170047665492732E-4</v>
      </c>
      <c r="W17" s="671"/>
      <c r="Y17" s="356" t="s">
        <v>21</v>
      </c>
      <c r="Z17" s="336" t="s">
        <v>232</v>
      </c>
      <c r="AA17" s="249" t="s">
        <v>195</v>
      </c>
      <c r="AB17" s="249">
        <f t="shared" si="3"/>
        <v>0.01</v>
      </c>
      <c r="AC17" s="249">
        <v>0.5</v>
      </c>
      <c r="AD17" s="249">
        <v>0.505</v>
      </c>
      <c r="AE17" s="249" t="s">
        <v>234</v>
      </c>
      <c r="AF17" s="249">
        <f t="shared" si="4"/>
        <v>4</v>
      </c>
      <c r="AG17" s="249">
        <v>0</v>
      </c>
      <c r="AH17" s="249" t="s">
        <v>18</v>
      </c>
      <c r="AI17" s="249">
        <f t="shared" si="5"/>
        <v>1</v>
      </c>
      <c r="AJ17" s="249">
        <f t="shared" si="6"/>
        <v>0</v>
      </c>
      <c r="AK17" s="249">
        <f t="shared" si="7"/>
        <v>4</v>
      </c>
      <c r="AL17" s="249">
        <f t="shared" si="8"/>
        <v>45</v>
      </c>
      <c r="AM17" s="249">
        <f t="shared" si="9"/>
        <v>0.83333333333333326</v>
      </c>
      <c r="AN17" s="250">
        <f t="shared" si="10"/>
        <v>1.6833333333333331</v>
      </c>
      <c r="AO17" s="674"/>
      <c r="AQ17" s="355" t="s">
        <v>21</v>
      </c>
      <c r="AR17" s="350">
        <f t="shared" si="11"/>
        <v>134062500</v>
      </c>
      <c r="AS17" s="350">
        <f t="shared" si="12"/>
        <v>9.5170047665492732E-4</v>
      </c>
      <c r="AT17" s="350">
        <f t="shared" si="13"/>
        <v>1.6833333333333331</v>
      </c>
      <c r="AU17" s="350">
        <v>1</v>
      </c>
      <c r="AV17" s="350">
        <f t="shared" si="14"/>
        <v>214772.03100511114</v>
      </c>
      <c r="AW17" s="461"/>
      <c r="AX17" s="461"/>
      <c r="AY17" s="624"/>
    </row>
    <row r="18" spans="1:51" ht="20.25" thickTop="1" thickBot="1" x14ac:dyDescent="0.35">
      <c r="A18" s="1"/>
      <c r="B18" s="8" t="s">
        <v>59</v>
      </c>
      <c r="C18" s="55">
        <f>'Input sheet'!E20</f>
        <v>98000</v>
      </c>
      <c r="K18" s="340" t="s">
        <v>26</v>
      </c>
      <c r="L18" s="363" t="s">
        <v>180</v>
      </c>
      <c r="M18" s="362">
        <f>C10*(C7+C8+C17)</f>
        <v>235125000</v>
      </c>
      <c r="N18" s="460">
        <f>SUM(M18:M21)</f>
        <v>940500000</v>
      </c>
      <c r="P18" s="354" t="s">
        <v>26</v>
      </c>
      <c r="Q18" s="268">
        <f>$C$29</f>
        <v>45</v>
      </c>
      <c r="R18" s="268">
        <f t="shared" si="15"/>
        <v>15</v>
      </c>
      <c r="S18" s="268">
        <v>270</v>
      </c>
      <c r="T18" s="268">
        <f t="shared" si="0"/>
        <v>23.717082451262847</v>
      </c>
      <c r="U18" s="268">
        <f t="shared" si="1"/>
        <v>1.9210987348136605E-2</v>
      </c>
      <c r="V18" s="268">
        <f t="shared" si="2"/>
        <v>3.8052912661382943E-2</v>
      </c>
      <c r="W18" s="460">
        <f>AVERAGE(V18:V21)</f>
        <v>4.4878152490877538E-2</v>
      </c>
      <c r="Y18" s="340" t="s">
        <v>26</v>
      </c>
      <c r="Z18" s="333" t="s">
        <v>235</v>
      </c>
      <c r="AA18" s="222" t="s">
        <v>247</v>
      </c>
      <c r="AB18" s="222">
        <f t="shared" si="3"/>
        <v>0.01</v>
      </c>
      <c r="AC18" s="222">
        <v>0.5</v>
      </c>
      <c r="AD18" s="222">
        <v>0.505</v>
      </c>
      <c r="AE18" s="222" t="s">
        <v>233</v>
      </c>
      <c r="AF18" s="222">
        <f t="shared" si="4"/>
        <v>4</v>
      </c>
      <c r="AG18" s="222">
        <v>0</v>
      </c>
      <c r="AH18" s="222" t="s">
        <v>15</v>
      </c>
      <c r="AI18" s="222">
        <f t="shared" si="5"/>
        <v>1</v>
      </c>
      <c r="AJ18" s="222">
        <f t="shared" si="6"/>
        <v>0</v>
      </c>
      <c r="AK18" s="222">
        <f t="shared" si="7"/>
        <v>4</v>
      </c>
      <c r="AL18" s="222">
        <f t="shared" si="8"/>
        <v>45</v>
      </c>
      <c r="AM18" s="222">
        <f t="shared" si="9"/>
        <v>0.83333333333333326</v>
      </c>
      <c r="AN18" s="223">
        <f t="shared" si="10"/>
        <v>1.6833333333333331</v>
      </c>
      <c r="AO18" s="672">
        <f>AVERAGE(AN18:AN21)</f>
        <v>1.6833333333333331</v>
      </c>
      <c r="AQ18" s="339" t="s">
        <v>26</v>
      </c>
      <c r="AR18" s="225">
        <f t="shared" si="11"/>
        <v>235125000</v>
      </c>
      <c r="AS18" s="225">
        <f t="shared" si="12"/>
        <v>3.8052912661382943E-2</v>
      </c>
      <c r="AT18" s="225">
        <f t="shared" si="13"/>
        <v>1.6833333333333331</v>
      </c>
      <c r="AU18" s="225">
        <v>1</v>
      </c>
      <c r="AV18" s="225">
        <f t="shared" si="14"/>
        <v>15061105.000671232</v>
      </c>
      <c r="AW18" s="460">
        <f>SUM(AV18:AV21)</f>
        <v>71049969.069745019</v>
      </c>
      <c r="AX18" s="460">
        <f>100*EXP((-1/13700000)*AW18)</f>
        <v>0.55936171319065453</v>
      </c>
      <c r="AY18" s="624"/>
    </row>
    <row r="19" spans="1:51" ht="19.5" thickTop="1" x14ac:dyDescent="0.3">
      <c r="B19" s="29"/>
      <c r="C19" s="98"/>
      <c r="K19" s="342" t="s">
        <v>27</v>
      </c>
      <c r="L19" s="109" t="s">
        <v>181</v>
      </c>
      <c r="M19" s="351">
        <f>C10*(C11+C13+C14)</f>
        <v>235125000</v>
      </c>
      <c r="N19" s="671"/>
      <c r="P19" s="341" t="s">
        <v>27</v>
      </c>
      <c r="Q19" s="45">
        <f>$C$29</f>
        <v>45</v>
      </c>
      <c r="R19" s="45">
        <f>$C$33</f>
        <v>25</v>
      </c>
      <c r="S19" s="45">
        <v>270</v>
      </c>
      <c r="T19" s="45">
        <f t="shared" si="0"/>
        <v>25.739075352467502</v>
      </c>
      <c r="U19" s="45">
        <f t="shared" si="1"/>
        <v>2.6194779393934508E-2</v>
      </c>
      <c r="V19" s="45">
        <f t="shared" si="2"/>
        <v>5.1703392320372119E-2</v>
      </c>
      <c r="W19" s="671"/>
      <c r="Y19" s="342" t="s">
        <v>27</v>
      </c>
      <c r="Z19" s="336" t="s">
        <v>235</v>
      </c>
      <c r="AA19" s="232" t="s">
        <v>247</v>
      </c>
      <c r="AB19" s="232">
        <f t="shared" si="3"/>
        <v>0.01</v>
      </c>
      <c r="AC19" s="232">
        <v>0.5</v>
      </c>
      <c r="AD19" s="232">
        <v>0.505</v>
      </c>
      <c r="AE19" s="232" t="s">
        <v>233</v>
      </c>
      <c r="AF19" s="232">
        <f t="shared" si="4"/>
        <v>4</v>
      </c>
      <c r="AG19" s="232">
        <v>0</v>
      </c>
      <c r="AH19" s="232" t="s">
        <v>15</v>
      </c>
      <c r="AI19" s="232">
        <f t="shared" si="5"/>
        <v>1</v>
      </c>
      <c r="AJ19" s="232">
        <f t="shared" si="6"/>
        <v>0</v>
      </c>
      <c r="AK19" s="232">
        <f t="shared" si="7"/>
        <v>4</v>
      </c>
      <c r="AL19" s="232">
        <f t="shared" si="8"/>
        <v>45</v>
      </c>
      <c r="AM19" s="232">
        <f t="shared" si="9"/>
        <v>0.83333333333333326</v>
      </c>
      <c r="AN19" s="233">
        <f t="shared" si="10"/>
        <v>1.6833333333333331</v>
      </c>
      <c r="AO19" s="673"/>
      <c r="AQ19" s="341" t="s">
        <v>27</v>
      </c>
      <c r="AR19" s="234">
        <f t="shared" si="11"/>
        <v>235125000</v>
      </c>
      <c r="AS19" s="234">
        <f t="shared" si="12"/>
        <v>5.1703392320372119E-2</v>
      </c>
      <c r="AT19" s="234">
        <f t="shared" si="13"/>
        <v>1.6833333333333331</v>
      </c>
      <c r="AU19" s="234">
        <v>1</v>
      </c>
      <c r="AV19" s="234">
        <f t="shared" si="14"/>
        <v>20463879.534201279</v>
      </c>
      <c r="AW19" s="671"/>
      <c r="AX19" s="671"/>
      <c r="AY19" s="624"/>
    </row>
    <row r="20" spans="1:51" ht="19.5" thickBot="1" x14ac:dyDescent="0.35">
      <c r="K20" s="342" t="s">
        <v>22</v>
      </c>
      <c r="L20" s="109" t="s">
        <v>182</v>
      </c>
      <c r="M20" s="351">
        <f>C16*(C13+C14+C11)</f>
        <v>235125000</v>
      </c>
      <c r="N20" s="671"/>
      <c r="P20" s="341" t="s">
        <v>22</v>
      </c>
      <c r="Q20" s="45">
        <f>$C$29</f>
        <v>45</v>
      </c>
      <c r="R20" s="45">
        <f>$C$32</f>
        <v>15</v>
      </c>
      <c r="S20" s="45">
        <v>270</v>
      </c>
      <c r="T20" s="45">
        <f t="shared" si="0"/>
        <v>23.717082451262847</v>
      </c>
      <c r="U20" s="45">
        <f t="shared" si="1"/>
        <v>1.9210987348136605E-2</v>
      </c>
      <c r="V20" s="45">
        <f t="shared" si="2"/>
        <v>3.8052912661382943E-2</v>
      </c>
      <c r="W20" s="671"/>
      <c r="Y20" s="342" t="s">
        <v>22</v>
      </c>
      <c r="Z20" s="336" t="s">
        <v>235</v>
      </c>
      <c r="AA20" s="232" t="s">
        <v>247</v>
      </c>
      <c r="AB20" s="232">
        <f t="shared" si="3"/>
        <v>0.01</v>
      </c>
      <c r="AC20" s="232">
        <v>0.5</v>
      </c>
      <c r="AD20" s="232">
        <v>0.505</v>
      </c>
      <c r="AE20" s="232" t="s">
        <v>234</v>
      </c>
      <c r="AF20" s="232">
        <f t="shared" si="4"/>
        <v>4</v>
      </c>
      <c r="AG20" s="232">
        <v>0</v>
      </c>
      <c r="AH20" s="232" t="s">
        <v>18</v>
      </c>
      <c r="AI20" s="232">
        <f t="shared" si="5"/>
        <v>1</v>
      </c>
      <c r="AJ20" s="232">
        <f t="shared" si="6"/>
        <v>0</v>
      </c>
      <c r="AK20" s="232">
        <f t="shared" si="7"/>
        <v>4</v>
      </c>
      <c r="AL20" s="232">
        <f t="shared" si="8"/>
        <v>45</v>
      </c>
      <c r="AM20" s="232">
        <f t="shared" si="9"/>
        <v>0.83333333333333326</v>
      </c>
      <c r="AN20" s="233">
        <f t="shared" si="10"/>
        <v>1.6833333333333331</v>
      </c>
      <c r="AO20" s="673"/>
      <c r="AQ20" s="341" t="s">
        <v>22</v>
      </c>
      <c r="AR20" s="234">
        <f t="shared" si="11"/>
        <v>235125000</v>
      </c>
      <c r="AS20" s="234">
        <f t="shared" si="12"/>
        <v>3.8052912661382943E-2</v>
      </c>
      <c r="AT20" s="234">
        <f t="shared" si="13"/>
        <v>1.6833333333333331</v>
      </c>
      <c r="AU20" s="234">
        <v>1</v>
      </c>
      <c r="AV20" s="234">
        <f t="shared" si="14"/>
        <v>15061105.000671232</v>
      </c>
      <c r="AW20" s="671"/>
      <c r="AX20" s="671"/>
      <c r="AY20" s="624"/>
    </row>
    <row r="21" spans="1:51" ht="20.25" thickTop="1" thickBot="1" x14ac:dyDescent="0.35">
      <c r="A21" s="699" t="s">
        <v>245</v>
      </c>
      <c r="B21" s="700"/>
      <c r="C21" s="701"/>
      <c r="K21" s="344" t="s">
        <v>20</v>
      </c>
      <c r="L21" s="105" t="s">
        <v>183</v>
      </c>
      <c r="M21" s="352">
        <f>C16*(C17+C7+C8)</f>
        <v>235125000</v>
      </c>
      <c r="N21" s="461"/>
      <c r="P21" s="343" t="s">
        <v>20</v>
      </c>
      <c r="Q21" s="46">
        <f>$C$29</f>
        <v>45</v>
      </c>
      <c r="R21" s="46">
        <f>$C$33</f>
        <v>25</v>
      </c>
      <c r="S21" s="46">
        <v>270</v>
      </c>
      <c r="T21" s="46">
        <f t="shared" si="0"/>
        <v>25.739075352467502</v>
      </c>
      <c r="U21" s="46">
        <f t="shared" si="1"/>
        <v>2.6194779393934508E-2</v>
      </c>
      <c r="V21" s="46">
        <f t="shared" si="2"/>
        <v>5.1703392320372119E-2</v>
      </c>
      <c r="W21" s="461"/>
      <c r="Y21" s="344" t="s">
        <v>20</v>
      </c>
      <c r="Z21" s="345" t="s">
        <v>235</v>
      </c>
      <c r="AA21" s="249" t="s">
        <v>247</v>
      </c>
      <c r="AB21" s="249">
        <f t="shared" si="3"/>
        <v>0.01</v>
      </c>
      <c r="AC21" s="249">
        <v>0.5</v>
      </c>
      <c r="AD21" s="249">
        <v>0.505</v>
      </c>
      <c r="AE21" s="249" t="s">
        <v>234</v>
      </c>
      <c r="AF21" s="249">
        <f t="shared" si="4"/>
        <v>4</v>
      </c>
      <c r="AG21" s="249">
        <v>0</v>
      </c>
      <c r="AH21" s="249" t="s">
        <v>18</v>
      </c>
      <c r="AI21" s="249">
        <f t="shared" si="5"/>
        <v>1</v>
      </c>
      <c r="AJ21" s="249">
        <f t="shared" si="6"/>
        <v>0</v>
      </c>
      <c r="AK21" s="249">
        <f t="shared" si="7"/>
        <v>4</v>
      </c>
      <c r="AL21" s="249">
        <f t="shared" si="8"/>
        <v>45</v>
      </c>
      <c r="AM21" s="249">
        <f t="shared" si="9"/>
        <v>0.83333333333333326</v>
      </c>
      <c r="AN21" s="250">
        <f t="shared" si="10"/>
        <v>1.6833333333333331</v>
      </c>
      <c r="AO21" s="674"/>
      <c r="AQ21" s="343" t="s">
        <v>20</v>
      </c>
      <c r="AR21" s="251">
        <f t="shared" si="11"/>
        <v>235125000</v>
      </c>
      <c r="AS21" s="251">
        <f t="shared" si="12"/>
        <v>5.1703392320372119E-2</v>
      </c>
      <c r="AT21" s="251">
        <f t="shared" si="13"/>
        <v>1.6833333333333331</v>
      </c>
      <c r="AU21" s="251">
        <v>1</v>
      </c>
      <c r="AV21" s="251">
        <f t="shared" si="14"/>
        <v>20463879.534201279</v>
      </c>
      <c r="AW21" s="461"/>
      <c r="AX21" s="461"/>
      <c r="AY21" s="625"/>
    </row>
    <row r="22" spans="1:51" ht="15.75" thickTop="1" x14ac:dyDescent="0.25">
      <c r="A22" s="460" t="s">
        <v>191</v>
      </c>
      <c r="B22" s="104" t="s">
        <v>9</v>
      </c>
      <c r="C22" s="93">
        <f>'Input sheet'!E38</f>
        <v>2</v>
      </c>
    </row>
    <row r="23" spans="1:51" ht="15.75" thickBot="1" x14ac:dyDescent="0.3">
      <c r="A23" s="461"/>
      <c r="B23" s="105" t="s">
        <v>12</v>
      </c>
      <c r="C23" s="94">
        <f>'Input sheet'!E39</f>
        <v>2</v>
      </c>
    </row>
    <row r="24" spans="1:51" ht="15.75" thickTop="1" x14ac:dyDescent="0.25">
      <c r="A24" s="460" t="s">
        <v>192</v>
      </c>
      <c r="B24" s="104" t="s">
        <v>15</v>
      </c>
      <c r="C24" s="93">
        <f>'Input sheet'!E40</f>
        <v>1</v>
      </c>
    </row>
    <row r="25" spans="1:51" ht="15.75" thickBot="1" x14ac:dyDescent="0.3">
      <c r="A25" s="461"/>
      <c r="B25" s="105" t="s">
        <v>18</v>
      </c>
      <c r="C25" s="94">
        <f>'Input sheet'!E41</f>
        <v>1</v>
      </c>
    </row>
    <row r="26" spans="1:51" ht="15.75" thickTop="1" x14ac:dyDescent="0.25"/>
    <row r="27" spans="1:51" ht="15.75" thickBot="1" x14ac:dyDescent="0.3"/>
    <row r="28" spans="1:51" ht="16.5" thickTop="1" thickBot="1" x14ac:dyDescent="0.3">
      <c r="B28" s="706" t="s">
        <v>199</v>
      </c>
      <c r="C28" s="707"/>
    </row>
    <row r="29" spans="1:51" ht="16.5" thickTop="1" thickBot="1" x14ac:dyDescent="0.3">
      <c r="B29" s="106" t="s">
        <v>200</v>
      </c>
      <c r="C29" s="60">
        <f>'Input sheet'!D27</f>
        <v>45</v>
      </c>
    </row>
    <row r="30" spans="1:51" ht="15.75" customHeight="1" x14ac:dyDescent="0.25">
      <c r="B30" s="107" t="s">
        <v>201</v>
      </c>
      <c r="C30" s="61">
        <f>'Input sheet'!D28</f>
        <v>20</v>
      </c>
      <c r="E30" s="684" t="s">
        <v>95</v>
      </c>
      <c r="F30" s="685"/>
      <c r="G30" s="685"/>
      <c r="H30" s="685"/>
      <c r="I30" s="686"/>
    </row>
    <row r="31" spans="1:51" x14ac:dyDescent="0.25">
      <c r="B31" s="107" t="s">
        <v>202</v>
      </c>
      <c r="C31" s="61">
        <f>'Input sheet'!D29</f>
        <v>15</v>
      </c>
      <c r="E31" s="687"/>
      <c r="F31" s="688"/>
      <c r="G31" s="688"/>
      <c r="H31" s="688"/>
      <c r="I31" s="689"/>
    </row>
    <row r="32" spans="1:51" ht="15.75" customHeight="1" x14ac:dyDescent="0.25">
      <c r="B32" s="109" t="s">
        <v>203</v>
      </c>
      <c r="C32" s="108">
        <f>'Input sheet'!D30</f>
        <v>15</v>
      </c>
      <c r="E32" s="687"/>
      <c r="F32" s="688"/>
      <c r="G32" s="688"/>
      <c r="H32" s="688"/>
      <c r="I32" s="689"/>
    </row>
    <row r="33" spans="1:20" ht="15" customHeight="1" thickBot="1" x14ac:dyDescent="0.3">
      <c r="B33" s="105" t="s">
        <v>204</v>
      </c>
      <c r="C33" s="94">
        <f>'Input sheet'!D31</f>
        <v>25</v>
      </c>
      <c r="E33" s="690"/>
      <c r="F33" s="691"/>
      <c r="G33" s="691"/>
      <c r="H33" s="691"/>
      <c r="I33" s="692"/>
    </row>
    <row r="34" spans="1:20" ht="15.75" customHeight="1" thickTop="1" x14ac:dyDescent="0.25"/>
    <row r="35" spans="1:20" ht="15.75" customHeight="1" x14ac:dyDescent="0.25"/>
    <row r="36" spans="1:20" ht="18.75" x14ac:dyDescent="0.3">
      <c r="G36" s="261"/>
    </row>
    <row r="37" spans="1:20" x14ac:dyDescent="0.25">
      <c r="G37" s="23"/>
    </row>
    <row r="38" spans="1:20" ht="15.75" thickBot="1" x14ac:dyDescent="0.3">
      <c r="D38" s="98"/>
      <c r="E38" s="98"/>
    </row>
    <row r="39" spans="1:20" ht="15" customHeight="1" x14ac:dyDescent="0.3">
      <c r="A39" s="34" t="s">
        <v>52</v>
      </c>
      <c r="B39" s="34"/>
      <c r="C39" s="34"/>
      <c r="D39" s="34"/>
      <c r="E39" s="34"/>
      <c r="F39" s="34"/>
      <c r="G39" s="34"/>
      <c r="H39" s="34"/>
      <c r="I39" s="35"/>
      <c r="J39" s="35"/>
      <c r="K39" s="36"/>
      <c r="L39" s="37"/>
      <c r="M39" s="37"/>
      <c r="N39" s="35"/>
      <c r="O39" s="35"/>
      <c r="P39" s="38"/>
      <c r="Q39" s="39"/>
      <c r="T39" s="33"/>
    </row>
    <row r="40" spans="1:20" ht="15.75" thickBot="1" x14ac:dyDescent="0.3">
      <c r="B40" s="17" t="s">
        <v>69</v>
      </c>
      <c r="K40" s="16"/>
      <c r="P40" s="40"/>
      <c r="Q40" s="39"/>
    </row>
    <row r="41" spans="1:20" ht="16.5" thickTop="1" thickBot="1" x14ac:dyDescent="0.3">
      <c r="A41" s="329" t="s">
        <v>3</v>
      </c>
      <c r="B41" s="19" t="s">
        <v>5</v>
      </c>
      <c r="C41" s="20" t="s">
        <v>38</v>
      </c>
      <c r="D41" s="21" t="s">
        <v>53</v>
      </c>
      <c r="E41" s="22" t="s">
        <v>48</v>
      </c>
      <c r="F41" s="18" t="s">
        <v>2</v>
      </c>
      <c r="K41" s="16"/>
      <c r="P41" s="40"/>
      <c r="Q41" s="39"/>
    </row>
    <row r="42" spans="1:20" ht="16.5" thickTop="1" thickBot="1" x14ac:dyDescent="0.3">
      <c r="A42" s="326">
        <f>A48</f>
        <v>4</v>
      </c>
      <c r="B42" s="24" t="str">
        <f>B48</f>
        <v>Two-Phase MUT</v>
      </c>
      <c r="C42" s="25">
        <v>6</v>
      </c>
      <c r="D42" s="26">
        <v>6</v>
      </c>
      <c r="E42" s="27">
        <v>4</v>
      </c>
      <c r="F42" s="28">
        <f>SUM(C42:E42)</f>
        <v>16</v>
      </c>
      <c r="K42" s="16"/>
      <c r="P42" s="40"/>
      <c r="Q42" s="39"/>
    </row>
    <row r="43" spans="1:20" ht="15.75" thickTop="1" x14ac:dyDescent="0.25">
      <c r="A43" s="327"/>
      <c r="B43" s="308"/>
      <c r="C43" s="325"/>
      <c r="D43" s="325"/>
      <c r="E43" s="325"/>
      <c r="F43" s="325"/>
      <c r="K43" s="16"/>
      <c r="P43" s="40"/>
      <c r="Q43" s="39"/>
    </row>
    <row r="44" spans="1:20" x14ac:dyDescent="0.25">
      <c r="K44" s="16"/>
      <c r="P44" s="40"/>
      <c r="Q44" s="39"/>
    </row>
    <row r="45" spans="1:20" ht="15.75" customHeight="1" thickBot="1" x14ac:dyDescent="0.3">
      <c r="B45" s="306" t="s">
        <v>316</v>
      </c>
      <c r="C45" s="306"/>
      <c r="D45" s="306"/>
      <c r="E45" s="306"/>
      <c r="F45" s="306"/>
      <c r="G45" s="306"/>
      <c r="P45" s="40"/>
      <c r="Q45" s="39"/>
    </row>
    <row r="46" spans="1:20" ht="16.5" thickTop="1" thickBot="1" x14ac:dyDescent="0.3">
      <c r="A46" s="697" t="s">
        <v>260</v>
      </c>
      <c r="B46" s="477" t="s">
        <v>186</v>
      </c>
      <c r="C46" s="479" t="s">
        <v>297</v>
      </c>
      <c r="D46" s="481" t="s">
        <v>298</v>
      </c>
      <c r="E46" s="481"/>
      <c r="F46" s="481"/>
      <c r="G46" s="481"/>
      <c r="P46" s="40"/>
      <c r="Q46" s="39"/>
    </row>
    <row r="47" spans="1:20" ht="16.5" thickTop="1" thickBot="1" x14ac:dyDescent="0.3">
      <c r="A47" s="698"/>
      <c r="B47" s="478"/>
      <c r="C47" s="480"/>
      <c r="D47" s="277" t="s">
        <v>313</v>
      </c>
      <c r="E47" s="277" t="s">
        <v>46</v>
      </c>
      <c r="F47" s="277" t="s">
        <v>53</v>
      </c>
      <c r="G47" s="277" t="s">
        <v>1</v>
      </c>
      <c r="P47" s="40"/>
      <c r="Q47" s="39"/>
    </row>
    <row r="48" spans="1:20" ht="16.5" thickTop="1" thickBot="1" x14ac:dyDescent="0.3">
      <c r="A48" s="328">
        <f t="shared" ref="A48:G48" si="16">AI92</f>
        <v>4</v>
      </c>
      <c r="B48" s="31" t="str">
        <f t="shared" si="16"/>
        <v>Two-Phase MUT</v>
      </c>
      <c r="C48" s="309">
        <f t="shared" si="16"/>
        <v>10.466572974996788</v>
      </c>
      <c r="D48" s="309" t="str">
        <f t="shared" si="16"/>
        <v xml:space="preserve">na </v>
      </c>
      <c r="E48" s="309">
        <f t="shared" si="16"/>
        <v>52.848710947163404</v>
      </c>
      <c r="F48" s="309">
        <f t="shared" si="16"/>
        <v>38.787017117910516</v>
      </c>
      <c r="G48" s="309">
        <f t="shared" si="16"/>
        <v>0.55936171319065453</v>
      </c>
      <c r="P48" s="40"/>
    </row>
    <row r="49" spans="1:16" ht="15.75" thickTop="1" x14ac:dyDescent="0.25">
      <c r="P49" s="40"/>
    </row>
    <row r="50" spans="1:16" x14ac:dyDescent="0.25">
      <c r="P50" s="40"/>
    </row>
    <row r="51" spans="1:16" ht="15.75" customHeight="1" thickBot="1" x14ac:dyDescent="0.3">
      <c r="B51" s="306" t="s">
        <v>317</v>
      </c>
      <c r="C51" s="306"/>
      <c r="D51" s="306"/>
      <c r="E51" s="306"/>
      <c r="F51" s="306"/>
      <c r="G51" s="306"/>
      <c r="H51" s="306"/>
      <c r="I51" s="306"/>
      <c r="J51" s="306"/>
      <c r="K51" s="306"/>
      <c r="L51" s="306"/>
      <c r="M51" s="306"/>
      <c r="N51" s="306"/>
      <c r="P51" s="40"/>
    </row>
    <row r="52" spans="1:16" ht="16.5" thickTop="1" thickBot="1" x14ac:dyDescent="0.3">
      <c r="A52" s="697" t="s">
        <v>260</v>
      </c>
      <c r="B52" s="477" t="s">
        <v>186</v>
      </c>
      <c r="C52" s="482" t="s">
        <v>314</v>
      </c>
      <c r="D52" s="482"/>
      <c r="E52" s="482"/>
      <c r="F52" s="482"/>
      <c r="G52" s="481" t="s">
        <v>315</v>
      </c>
      <c r="H52" s="481"/>
      <c r="I52" s="481"/>
      <c r="J52" s="481"/>
      <c r="K52" s="479" t="s">
        <v>301</v>
      </c>
      <c r="L52" s="479"/>
      <c r="M52" s="479"/>
      <c r="N52" s="479"/>
      <c r="P52" s="40"/>
    </row>
    <row r="53" spans="1:16" ht="18.75" customHeight="1" thickTop="1" thickBot="1" x14ac:dyDescent="0.3">
      <c r="A53" s="698"/>
      <c r="B53" s="478"/>
      <c r="C53" s="305" t="s">
        <v>303</v>
      </c>
      <c r="D53" s="305" t="s">
        <v>185</v>
      </c>
      <c r="E53" s="305" t="s">
        <v>184</v>
      </c>
      <c r="F53" s="305" t="s">
        <v>304</v>
      </c>
      <c r="G53" s="305" t="s">
        <v>303</v>
      </c>
      <c r="H53" s="305" t="s">
        <v>185</v>
      </c>
      <c r="I53" s="305" t="s">
        <v>184</v>
      </c>
      <c r="J53" s="305" t="s">
        <v>304</v>
      </c>
      <c r="K53" s="305" t="s">
        <v>303</v>
      </c>
      <c r="L53" s="305" t="s">
        <v>185</v>
      </c>
      <c r="M53" s="305" t="s">
        <v>184</v>
      </c>
      <c r="N53" s="305" t="s">
        <v>304</v>
      </c>
      <c r="P53" s="40"/>
    </row>
    <row r="54" spans="1:16" ht="16.5" thickTop="1" thickBot="1" x14ac:dyDescent="0.3">
      <c r="A54" s="328">
        <f t="shared" ref="A54:N54" si="17">AQ92</f>
        <v>4</v>
      </c>
      <c r="B54" s="31" t="str">
        <f t="shared" si="17"/>
        <v>Two-Phase MUT</v>
      </c>
      <c r="C54" s="303" t="str">
        <f t="shared" si="17"/>
        <v>na</v>
      </c>
      <c r="D54" s="324">
        <f t="shared" si="17"/>
        <v>2.0024087316522392</v>
      </c>
      <c r="E54" s="324">
        <f t="shared" si="17"/>
        <v>2.1851027854409542</v>
      </c>
      <c r="F54" s="324">
        <f t="shared" si="17"/>
        <v>0.74022332628265042</v>
      </c>
      <c r="G54" s="303" t="str">
        <f t="shared" si="17"/>
        <v>na</v>
      </c>
      <c r="H54" s="324">
        <f t="shared" si="17"/>
        <v>3.5755232180880794E-3</v>
      </c>
      <c r="I54" s="324">
        <f t="shared" si="17"/>
        <v>9.2841651828535748E-3</v>
      </c>
      <c r="J54" s="324">
        <f t="shared" si="17"/>
        <v>4.4878152490877538E-2</v>
      </c>
      <c r="K54" s="303" t="str">
        <f t="shared" si="17"/>
        <v>na</v>
      </c>
      <c r="L54" s="324">
        <f t="shared" si="17"/>
        <v>1</v>
      </c>
      <c r="M54" s="324">
        <f t="shared" si="17"/>
        <v>1.0520833333333333</v>
      </c>
      <c r="N54" s="324">
        <f t="shared" si="17"/>
        <v>1.6833333333333331</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82" t="s">
        <v>296</v>
      </c>
      <c r="AJ90" s="682" t="s">
        <v>186</v>
      </c>
      <c r="AK90" s="683" t="s">
        <v>297</v>
      </c>
      <c r="AL90" s="682" t="s">
        <v>298</v>
      </c>
      <c r="AM90" s="682"/>
      <c r="AN90" s="682"/>
      <c r="AO90" s="682"/>
      <c r="AP90" s="162"/>
      <c r="AQ90" s="682" t="s">
        <v>296</v>
      </c>
      <c r="AR90" s="680" t="s">
        <v>186</v>
      </c>
      <c r="AS90" s="681" t="s">
        <v>299</v>
      </c>
      <c r="AT90" s="681"/>
      <c r="AU90" s="681"/>
      <c r="AV90" s="681"/>
      <c r="AW90" s="682" t="s">
        <v>300</v>
      </c>
      <c r="AX90" s="682"/>
      <c r="AY90" s="682"/>
      <c r="AZ90" s="682"/>
      <c r="BA90" s="683" t="s">
        <v>301</v>
      </c>
      <c r="BB90" s="683"/>
      <c r="BC90" s="683"/>
      <c r="BD90" s="683"/>
    </row>
    <row r="91" spans="1:56" ht="16.5" thickTop="1" thickBot="1" x14ac:dyDescent="0.3">
      <c r="K91" s="16"/>
      <c r="AI91" s="682"/>
      <c r="AJ91" s="682"/>
      <c r="AK91" s="683"/>
      <c r="AL91" s="163" t="s">
        <v>302</v>
      </c>
      <c r="AM91" s="163" t="s">
        <v>46</v>
      </c>
      <c r="AN91" s="163" t="s">
        <v>53</v>
      </c>
      <c r="AO91" s="163" t="s">
        <v>1</v>
      </c>
      <c r="AP91" s="162"/>
      <c r="AQ91" s="682"/>
      <c r="AR91" s="680"/>
      <c r="AS91" s="163" t="s">
        <v>303</v>
      </c>
      <c r="AT91" s="163" t="s">
        <v>185</v>
      </c>
      <c r="AU91" s="163" t="s">
        <v>184</v>
      </c>
      <c r="AV91" s="163" t="s">
        <v>304</v>
      </c>
      <c r="AW91" s="163" t="s">
        <v>303</v>
      </c>
      <c r="AX91" s="163" t="s">
        <v>185</v>
      </c>
      <c r="AY91" s="163" t="s">
        <v>184</v>
      </c>
      <c r="AZ91" s="163" t="s">
        <v>304</v>
      </c>
      <c r="BA91" s="163" t="s">
        <v>303</v>
      </c>
      <c r="BB91" s="163" t="s">
        <v>185</v>
      </c>
      <c r="BC91" s="163" t="s">
        <v>184</v>
      </c>
      <c r="BD91" s="163" t="s">
        <v>304</v>
      </c>
    </row>
    <row r="92" spans="1:56" ht="15.75" thickTop="1" x14ac:dyDescent="0.25">
      <c r="K92" s="16"/>
      <c r="AI92" s="164">
        <v>4</v>
      </c>
      <c r="AJ92" s="165" t="s">
        <v>68</v>
      </c>
      <c r="AK92" s="166">
        <f>$AY$6</f>
        <v>10.466572974996788</v>
      </c>
      <c r="AL92" s="167" t="s">
        <v>305</v>
      </c>
      <c r="AM92" s="168">
        <f>$AX$6</f>
        <v>52.848710947163404</v>
      </c>
      <c r="AN92" s="168">
        <f>$AX$12</f>
        <v>38.787017117910516</v>
      </c>
      <c r="AO92" s="168">
        <f>$AX$18</f>
        <v>0.55936171319065453</v>
      </c>
      <c r="AP92" s="169"/>
      <c r="AQ92" s="164">
        <f t="shared" ref="AQ92:AR92" si="18">AI92</f>
        <v>4</v>
      </c>
      <c r="AR92" s="165" t="str">
        <f t="shared" si="18"/>
        <v>Two-Phase MUT</v>
      </c>
      <c r="AS92" s="170" t="s">
        <v>306</v>
      </c>
      <c r="AT92" s="171">
        <f>$N$6/'1.Conventional'!$N$6</f>
        <v>2.0024087316522392</v>
      </c>
      <c r="AU92" s="171">
        <f>$N$12/'1.Conventional'!$N$14</f>
        <v>2.1851027854409542</v>
      </c>
      <c r="AV92" s="171">
        <f>$N$18/'1.Conventional'!$N$22</f>
        <v>0.74022332628265042</v>
      </c>
      <c r="AW92" s="170" t="s">
        <v>306</v>
      </c>
      <c r="AX92" s="171">
        <f>$W$6</f>
        <v>3.5755232180880794E-3</v>
      </c>
      <c r="AY92" s="171">
        <f>$W$12</f>
        <v>9.2841651828535748E-3</v>
      </c>
      <c r="AZ92" s="171">
        <f>$W$18</f>
        <v>4.4878152490877538E-2</v>
      </c>
      <c r="BA92" s="172" t="s">
        <v>306</v>
      </c>
      <c r="BB92" s="173">
        <f>$AO$6</f>
        <v>1</v>
      </c>
      <c r="BC92" s="173">
        <f>$AO$12</f>
        <v>1.0520833333333333</v>
      </c>
      <c r="BD92" s="173">
        <f>$AO$18</f>
        <v>1.6833333333333331</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AQ2:AY4"/>
    <mergeCell ref="AJ90:AJ91"/>
    <mergeCell ref="AK90:AK91"/>
    <mergeCell ref="K2:N4"/>
    <mergeCell ref="P2:W4"/>
    <mergeCell ref="Y2:AO2"/>
    <mergeCell ref="Y3:Y5"/>
    <mergeCell ref="Z3:Z5"/>
    <mergeCell ref="AA3:AD3"/>
    <mergeCell ref="AE3:AK3"/>
    <mergeCell ref="AL3:AM3"/>
    <mergeCell ref="AN3:AN5"/>
    <mergeCell ref="AO3:AO5"/>
    <mergeCell ref="AA4:AA5"/>
    <mergeCell ref="AB4:AB5"/>
    <mergeCell ref="AC4:AC5"/>
    <mergeCell ref="B52:B53"/>
    <mergeCell ref="C52:F52"/>
    <mergeCell ref="G52:J52"/>
    <mergeCell ref="K52:N52"/>
    <mergeCell ref="A4:C4"/>
    <mergeCell ref="A46:A47"/>
    <mergeCell ref="B46:B47"/>
    <mergeCell ref="A52:A53"/>
    <mergeCell ref="AD4:AD5"/>
    <mergeCell ref="AE4:AF4"/>
    <mergeCell ref="AG4:AJ4"/>
    <mergeCell ref="AK4:AK5"/>
    <mergeCell ref="AL4:AL5"/>
    <mergeCell ref="AM4:AM5"/>
    <mergeCell ref="AY6:AY21"/>
    <mergeCell ref="N12:N17"/>
    <mergeCell ref="W12:W17"/>
    <mergeCell ref="AO12:AO17"/>
    <mergeCell ref="AW12:AW17"/>
    <mergeCell ref="AX12:AX17"/>
    <mergeCell ref="N18:N21"/>
    <mergeCell ref="W18:W21"/>
    <mergeCell ref="AO18:AO21"/>
    <mergeCell ref="AW18:AW21"/>
    <mergeCell ref="AX18:AX21"/>
    <mergeCell ref="N6:N11"/>
    <mergeCell ref="W6:W11"/>
    <mergeCell ref="AO6:AO11"/>
    <mergeCell ref="AW6:AW11"/>
    <mergeCell ref="AX6:AX11"/>
    <mergeCell ref="BA90:BD90"/>
    <mergeCell ref="B28:C28"/>
    <mergeCell ref="E5:F5"/>
    <mergeCell ref="E30:I33"/>
    <mergeCell ref="C46:C47"/>
    <mergeCell ref="D46:G46"/>
    <mergeCell ref="AL90:AO90"/>
    <mergeCell ref="AQ90:AQ91"/>
    <mergeCell ref="AR90:AR91"/>
    <mergeCell ref="AS90:AV90"/>
    <mergeCell ref="AW90:AZ90"/>
    <mergeCell ref="A21:C21"/>
    <mergeCell ref="A22:A23"/>
    <mergeCell ref="A24:A25"/>
    <mergeCell ref="AI90:AI9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
  <sheetViews>
    <sheetView zoomScale="85" zoomScaleNormal="85" workbookViewId="0">
      <selection activeCell="I4" sqref="I4"/>
    </sheetView>
  </sheetViews>
  <sheetFormatPr defaultColWidth="9.140625" defaultRowHeight="15" x14ac:dyDescent="0.25"/>
  <cols>
    <col min="1" max="1" width="31" style="9" customWidth="1"/>
    <col min="2" max="2" width="84.140625" style="9" customWidth="1"/>
    <col min="3" max="3" width="69.5703125" style="9" customWidth="1"/>
    <col min="4" max="4" width="9.7109375" style="9" customWidth="1"/>
    <col min="5" max="16384" width="9.140625" style="9"/>
  </cols>
  <sheetData>
    <row r="1" spans="1:3" ht="15.75" thickBot="1" x14ac:dyDescent="0.3"/>
    <row r="2" spans="1:3" ht="15.75" thickBot="1" x14ac:dyDescent="0.3">
      <c r="A2" s="435" t="s">
        <v>403</v>
      </c>
      <c r="B2" s="436"/>
      <c r="C2" s="437"/>
    </row>
    <row r="3" spans="1:3" ht="13.5" customHeight="1" thickBot="1" x14ac:dyDescent="0.3"/>
    <row r="4" spans="1:3" ht="231.75" customHeight="1" thickBot="1" x14ac:dyDescent="0.3">
      <c r="A4" s="65" t="s">
        <v>96</v>
      </c>
      <c r="B4" s="66"/>
      <c r="C4" s="67" t="s">
        <v>98</v>
      </c>
    </row>
    <row r="5" spans="1:3" ht="231.75" customHeight="1" thickBot="1" x14ac:dyDescent="0.3">
      <c r="A5" s="65" t="s">
        <v>400</v>
      </c>
      <c r="B5" s="66"/>
      <c r="C5" s="67" t="s">
        <v>99</v>
      </c>
    </row>
    <row r="6" spans="1:3" ht="231.75" customHeight="1" thickBot="1" x14ac:dyDescent="0.3">
      <c r="A6" s="65" t="s">
        <v>401</v>
      </c>
      <c r="B6" s="66"/>
      <c r="C6" s="67" t="s">
        <v>189</v>
      </c>
    </row>
    <row r="7" spans="1:3" ht="231.75" customHeight="1" thickBot="1" x14ac:dyDescent="0.3">
      <c r="A7" s="65" t="s">
        <v>402</v>
      </c>
      <c r="B7" s="66"/>
      <c r="C7" s="67" t="s">
        <v>95</v>
      </c>
    </row>
  </sheetData>
  <mergeCells count="1">
    <mergeCell ref="A2:C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R53"/>
  <sheetViews>
    <sheetView zoomScale="70" zoomScaleNormal="70" workbookViewId="0">
      <selection activeCell="D28" sqref="D28"/>
    </sheetView>
  </sheetViews>
  <sheetFormatPr defaultColWidth="9.140625" defaultRowHeight="15" x14ac:dyDescent="0.25"/>
  <cols>
    <col min="1" max="1" width="11.42578125" style="9" customWidth="1"/>
    <col min="2" max="2" width="19.42578125" style="9" customWidth="1"/>
    <col min="3" max="3" width="27.7109375" style="9" customWidth="1"/>
    <col min="4" max="4" width="22.85546875" style="9" customWidth="1"/>
    <col min="5" max="5" width="28.85546875" style="9" customWidth="1"/>
    <col min="6" max="6" width="10.42578125" style="9" customWidth="1"/>
    <col min="7" max="10" width="9.140625" style="9"/>
    <col min="11" max="11" width="13.7109375" style="9" customWidth="1"/>
    <col min="12" max="16384" width="9.140625" style="9"/>
  </cols>
  <sheetData>
    <row r="1" spans="2:18" x14ac:dyDescent="0.25">
      <c r="B1" s="449" t="s">
        <v>75</v>
      </c>
      <c r="C1" s="450"/>
      <c r="D1" s="450"/>
      <c r="E1" s="450"/>
      <c r="F1" s="450"/>
      <c r="G1" s="450"/>
      <c r="H1" s="450"/>
      <c r="I1" s="450"/>
      <c r="J1" s="450"/>
      <c r="K1" s="450"/>
      <c r="L1" s="450"/>
      <c r="M1" s="450"/>
      <c r="N1" s="450"/>
      <c r="O1" s="450"/>
      <c r="P1" s="450"/>
      <c r="Q1" s="450"/>
      <c r="R1" s="451"/>
    </row>
    <row r="2" spans="2:18" ht="15.75" thickBot="1" x14ac:dyDescent="0.3">
      <c r="B2" s="452"/>
      <c r="C2" s="453"/>
      <c r="D2" s="453"/>
      <c r="E2" s="453"/>
      <c r="F2" s="453"/>
      <c r="G2" s="453"/>
      <c r="H2" s="453"/>
      <c r="I2" s="453"/>
      <c r="J2" s="453"/>
      <c r="K2" s="453"/>
      <c r="L2" s="453"/>
      <c r="M2" s="453"/>
      <c r="N2" s="453"/>
      <c r="O2" s="453"/>
      <c r="P2" s="453"/>
      <c r="Q2" s="453"/>
      <c r="R2" s="454"/>
    </row>
    <row r="3" spans="2:18" x14ac:dyDescent="0.25">
      <c r="B3" s="39"/>
      <c r="R3" s="40"/>
    </row>
    <row r="4" spans="2:18" x14ac:dyDescent="0.25">
      <c r="B4" s="455" t="s">
        <v>382</v>
      </c>
      <c r="C4" s="456"/>
      <c r="D4" s="456"/>
      <c r="E4" s="456"/>
      <c r="F4" s="456"/>
      <c r="G4" s="456"/>
      <c r="H4" s="456"/>
      <c r="R4" s="40"/>
    </row>
    <row r="5" spans="2:18" ht="15.75" thickBot="1" x14ac:dyDescent="0.3">
      <c r="B5" s="39"/>
      <c r="C5" s="464" t="s">
        <v>71</v>
      </c>
      <c r="D5" s="464"/>
      <c r="E5" s="464"/>
      <c r="R5" s="40"/>
    </row>
    <row r="6" spans="2:18" ht="16.5" thickTop="1" thickBot="1" x14ac:dyDescent="0.3">
      <c r="B6" s="39"/>
      <c r="C6" s="465" t="s">
        <v>360</v>
      </c>
      <c r="D6" s="466"/>
      <c r="E6" s="467"/>
      <c r="R6" s="40"/>
    </row>
    <row r="7" spans="2:18" ht="16.5" thickTop="1" thickBot="1" x14ac:dyDescent="0.3">
      <c r="B7" s="39"/>
      <c r="C7" s="71" t="s">
        <v>6</v>
      </c>
      <c r="D7" s="71" t="s">
        <v>50</v>
      </c>
      <c r="E7" s="71" t="s">
        <v>361</v>
      </c>
      <c r="R7" s="40"/>
    </row>
    <row r="8" spans="2:18" ht="15.75" thickTop="1" x14ac:dyDescent="0.25">
      <c r="B8" s="39"/>
      <c r="C8" s="68" t="s">
        <v>101</v>
      </c>
      <c r="D8" s="44" t="s">
        <v>77</v>
      </c>
      <c r="E8" s="56">
        <v>8125</v>
      </c>
      <c r="O8" s="99"/>
      <c r="R8" s="40"/>
    </row>
    <row r="9" spans="2:18" x14ac:dyDescent="0.25">
      <c r="B9" s="39"/>
      <c r="C9" s="69"/>
      <c r="D9" s="45" t="s">
        <v>78</v>
      </c>
      <c r="E9" s="57">
        <v>16250</v>
      </c>
      <c r="O9" s="99"/>
      <c r="R9" s="40"/>
    </row>
    <row r="10" spans="2:18" ht="15.75" thickBot="1" x14ac:dyDescent="0.3">
      <c r="B10" s="39"/>
      <c r="C10" s="70"/>
      <c r="D10" s="46" t="s">
        <v>79</v>
      </c>
      <c r="E10" s="58">
        <v>8125</v>
      </c>
      <c r="R10" s="40"/>
    </row>
    <row r="11" spans="2:18" ht="15.75" thickTop="1" x14ac:dyDescent="0.25">
      <c r="B11" s="39"/>
      <c r="C11" s="68" t="s">
        <v>102</v>
      </c>
      <c r="D11" s="44" t="s">
        <v>80</v>
      </c>
      <c r="E11" s="59">
        <v>4125</v>
      </c>
      <c r="R11" s="40"/>
    </row>
    <row r="12" spans="2:18" x14ac:dyDescent="0.25">
      <c r="B12" s="39"/>
      <c r="C12" s="69"/>
      <c r="D12" s="45" t="s">
        <v>81</v>
      </c>
      <c r="E12" s="57">
        <v>8250</v>
      </c>
      <c r="R12" s="40"/>
    </row>
    <row r="13" spans="2:18" ht="15.75" thickBot="1" x14ac:dyDescent="0.3">
      <c r="B13" s="39"/>
      <c r="C13" s="70"/>
      <c r="D13" s="46" t="s">
        <v>82</v>
      </c>
      <c r="E13" s="58">
        <v>4125</v>
      </c>
      <c r="R13" s="40"/>
    </row>
    <row r="14" spans="2:18" ht="15.75" thickTop="1" x14ac:dyDescent="0.25">
      <c r="B14" s="39"/>
      <c r="C14" s="68" t="s">
        <v>103</v>
      </c>
      <c r="D14" s="44" t="s">
        <v>83</v>
      </c>
      <c r="E14" s="59">
        <v>8125</v>
      </c>
      <c r="R14" s="40"/>
    </row>
    <row r="15" spans="2:18" x14ac:dyDescent="0.25">
      <c r="B15" s="39"/>
      <c r="C15" s="69"/>
      <c r="D15" s="45" t="s">
        <v>84</v>
      </c>
      <c r="E15" s="57">
        <v>16250</v>
      </c>
      <c r="R15" s="40"/>
    </row>
    <row r="16" spans="2:18" ht="15.75" thickBot="1" x14ac:dyDescent="0.3">
      <c r="B16" s="39"/>
      <c r="C16" s="70"/>
      <c r="D16" s="46" t="s">
        <v>85</v>
      </c>
      <c r="E16" s="58">
        <v>8125</v>
      </c>
      <c r="R16" s="40"/>
    </row>
    <row r="17" spans="2:18" ht="15.75" thickTop="1" x14ac:dyDescent="0.25">
      <c r="B17" s="39"/>
      <c r="C17" s="68" t="s">
        <v>104</v>
      </c>
      <c r="D17" s="44" t="s">
        <v>86</v>
      </c>
      <c r="E17" s="59">
        <v>4125</v>
      </c>
      <c r="R17" s="40"/>
    </row>
    <row r="18" spans="2:18" x14ac:dyDescent="0.25">
      <c r="B18" s="39"/>
      <c r="C18" s="69"/>
      <c r="D18" s="45" t="s">
        <v>87</v>
      </c>
      <c r="E18" s="57">
        <v>8250</v>
      </c>
      <c r="R18" s="40"/>
    </row>
    <row r="19" spans="2:18" ht="15.75" thickBot="1" x14ac:dyDescent="0.3">
      <c r="B19" s="39"/>
      <c r="C19" s="70"/>
      <c r="D19" s="46" t="s">
        <v>88</v>
      </c>
      <c r="E19" s="58">
        <v>4125</v>
      </c>
      <c r="R19" s="40"/>
    </row>
    <row r="20" spans="2:18" ht="16.5" thickTop="1" thickBot="1" x14ac:dyDescent="0.3">
      <c r="B20" s="39"/>
      <c r="C20" s="47"/>
      <c r="D20" s="48" t="s">
        <v>59</v>
      </c>
      <c r="E20" s="62">
        <f>SUM(E8:E19)</f>
        <v>98000</v>
      </c>
      <c r="R20" s="40"/>
    </row>
    <row r="21" spans="2:18" ht="15.75" thickTop="1" x14ac:dyDescent="0.25">
      <c r="B21" s="175" t="s">
        <v>194</v>
      </c>
      <c r="C21" s="30"/>
      <c r="D21" s="96"/>
      <c r="E21" s="97"/>
      <c r="F21" s="97"/>
      <c r="G21" s="97"/>
      <c r="H21" s="97"/>
      <c r="I21" s="97"/>
      <c r="J21" s="97"/>
      <c r="K21" s="97"/>
      <c r="R21" s="40"/>
    </row>
    <row r="22" spans="2:18" x14ac:dyDescent="0.25">
      <c r="B22" s="175"/>
      <c r="C22" s="30"/>
      <c r="D22" s="96"/>
      <c r="E22" s="97"/>
      <c r="F22" s="97"/>
      <c r="G22" s="97"/>
      <c r="H22" s="97"/>
      <c r="I22" s="97"/>
      <c r="J22" s="97"/>
      <c r="K22" s="97"/>
      <c r="R22" s="40"/>
    </row>
    <row r="23" spans="2:18" x14ac:dyDescent="0.25">
      <c r="B23" s="39"/>
      <c r="C23" s="29"/>
      <c r="D23" s="98"/>
      <c r="R23" s="40"/>
    </row>
    <row r="24" spans="2:18" x14ac:dyDescent="0.25">
      <c r="B24" s="455" t="s">
        <v>383</v>
      </c>
      <c r="C24" s="456"/>
      <c r="D24" s="456"/>
      <c r="E24" s="456"/>
      <c r="F24" s="456"/>
      <c r="G24" s="456"/>
      <c r="H24" s="456"/>
      <c r="I24" s="456"/>
      <c r="J24" s="456"/>
      <c r="K24" s="456"/>
      <c r="L24" s="456"/>
      <c r="M24" s="456"/>
      <c r="N24" s="456"/>
      <c r="O24" s="456"/>
      <c r="P24" s="456"/>
      <c r="R24" s="40"/>
    </row>
    <row r="25" spans="2:18" ht="15.75" thickBot="1" x14ac:dyDescent="0.3">
      <c r="B25" s="39"/>
      <c r="C25" s="463" t="s">
        <v>72</v>
      </c>
      <c r="D25" s="463"/>
      <c r="R25" s="40"/>
    </row>
    <row r="26" spans="2:18" ht="16.5" thickTop="1" thickBot="1" x14ac:dyDescent="0.3">
      <c r="B26" s="39"/>
      <c r="C26" s="468" t="s">
        <v>199</v>
      </c>
      <c r="D26" s="469"/>
      <c r="R26" s="40"/>
    </row>
    <row r="27" spans="2:18" ht="15.75" thickTop="1" x14ac:dyDescent="0.25">
      <c r="B27" s="39"/>
      <c r="C27" s="106" t="s">
        <v>200</v>
      </c>
      <c r="D27" s="60">
        <v>45</v>
      </c>
      <c r="R27" s="40"/>
    </row>
    <row r="28" spans="2:18" x14ac:dyDescent="0.25">
      <c r="B28" s="39"/>
      <c r="C28" s="107" t="s">
        <v>201</v>
      </c>
      <c r="D28" s="61">
        <v>20</v>
      </c>
      <c r="R28" s="40"/>
    </row>
    <row r="29" spans="2:18" x14ac:dyDescent="0.25">
      <c r="B29" s="39"/>
      <c r="C29" s="107" t="s">
        <v>202</v>
      </c>
      <c r="D29" s="61">
        <v>15</v>
      </c>
      <c r="R29" s="40"/>
    </row>
    <row r="30" spans="2:18" x14ac:dyDescent="0.25">
      <c r="B30" s="39"/>
      <c r="C30" s="109" t="s">
        <v>203</v>
      </c>
      <c r="D30" s="108">
        <v>15</v>
      </c>
      <c r="R30" s="40"/>
    </row>
    <row r="31" spans="2:18" ht="15.75" thickBot="1" x14ac:dyDescent="0.3">
      <c r="B31" s="39"/>
      <c r="C31" s="105" t="s">
        <v>204</v>
      </c>
      <c r="D31" s="94">
        <v>25</v>
      </c>
      <c r="R31" s="40"/>
    </row>
    <row r="32" spans="2:18" ht="15.75" thickTop="1" x14ac:dyDescent="0.25">
      <c r="B32" s="176" t="s">
        <v>393</v>
      </c>
      <c r="R32" s="40"/>
    </row>
    <row r="33" spans="2:18" x14ac:dyDescent="0.25">
      <c r="B33" s="176"/>
      <c r="R33" s="40"/>
    </row>
    <row r="34" spans="2:18" x14ac:dyDescent="0.25">
      <c r="B34" s="39"/>
      <c r="R34" s="40"/>
    </row>
    <row r="35" spans="2:18" x14ac:dyDescent="0.25">
      <c r="B35" s="462" t="s">
        <v>384</v>
      </c>
      <c r="C35" s="463"/>
      <c r="D35" s="463"/>
      <c r="E35" s="463"/>
      <c r="F35" s="463"/>
      <c r="G35" s="463"/>
      <c r="H35" s="463"/>
      <c r="I35" s="463"/>
      <c r="J35" s="463"/>
      <c r="K35" s="463"/>
      <c r="L35"/>
      <c r="R35" s="40"/>
    </row>
    <row r="36" spans="2:18" ht="15.75" thickBot="1" x14ac:dyDescent="0.3">
      <c r="B36" s="95"/>
      <c r="C36" s="464" t="s">
        <v>193</v>
      </c>
      <c r="D36" s="464"/>
      <c r="E36" s="464"/>
      <c r="F36" s="91"/>
      <c r="G36" s="91"/>
      <c r="H36" s="91"/>
      <c r="I36" s="91"/>
      <c r="J36" s="91"/>
      <c r="K36" s="91"/>
      <c r="R36" s="40"/>
    </row>
    <row r="37" spans="2:18" ht="16.5" thickTop="1" thickBot="1" x14ac:dyDescent="0.3">
      <c r="B37" s="39"/>
      <c r="C37" s="457" t="s">
        <v>190</v>
      </c>
      <c r="D37" s="458"/>
      <c r="E37" s="459"/>
      <c r="R37" s="40"/>
    </row>
    <row r="38" spans="2:18" ht="15.75" thickTop="1" x14ac:dyDescent="0.25">
      <c r="B38" s="39"/>
      <c r="C38" s="460" t="s">
        <v>191</v>
      </c>
      <c r="D38" s="104" t="s">
        <v>9</v>
      </c>
      <c r="E38" s="93">
        <v>2</v>
      </c>
      <c r="R38" s="40"/>
    </row>
    <row r="39" spans="2:18" ht="15.75" thickBot="1" x14ac:dyDescent="0.3">
      <c r="B39" s="39"/>
      <c r="C39" s="461"/>
      <c r="D39" s="105" t="s">
        <v>12</v>
      </c>
      <c r="E39" s="94">
        <v>2</v>
      </c>
      <c r="R39" s="40"/>
    </row>
    <row r="40" spans="2:18" ht="15.75" thickTop="1" x14ac:dyDescent="0.25">
      <c r="B40" s="39"/>
      <c r="C40" s="460" t="s">
        <v>192</v>
      </c>
      <c r="D40" s="104" t="s">
        <v>15</v>
      </c>
      <c r="E40" s="93">
        <v>1</v>
      </c>
      <c r="R40" s="40"/>
    </row>
    <row r="41" spans="2:18" ht="15.75" thickBot="1" x14ac:dyDescent="0.3">
      <c r="B41" s="39"/>
      <c r="C41" s="461"/>
      <c r="D41" s="105" t="s">
        <v>18</v>
      </c>
      <c r="E41" s="94">
        <v>1</v>
      </c>
      <c r="R41" s="40"/>
    </row>
    <row r="42" spans="2:18" ht="15.75" thickTop="1" x14ac:dyDescent="0.25">
      <c r="B42" s="176" t="s">
        <v>194</v>
      </c>
      <c r="R42" s="40"/>
    </row>
    <row r="43" spans="2:18" x14ac:dyDescent="0.25">
      <c r="B43" s="176"/>
      <c r="R43" s="40"/>
    </row>
    <row r="44" spans="2:18" x14ac:dyDescent="0.25">
      <c r="B44" s="39"/>
      <c r="R44" s="40"/>
    </row>
    <row r="45" spans="2:18" x14ac:dyDescent="0.25">
      <c r="B45" s="175" t="s">
        <v>392</v>
      </c>
      <c r="C45" s="400"/>
      <c r="D45" s="400"/>
      <c r="E45" s="400"/>
      <c r="F45" s="400"/>
      <c r="G45" s="400"/>
      <c r="H45" s="400"/>
      <c r="I45" s="400"/>
      <c r="J45" s="177"/>
      <c r="K45" s="177"/>
      <c r="L45" s="177"/>
      <c r="M45" s="177"/>
      <c r="N45" s="177"/>
      <c r="O45" s="177"/>
      <c r="P45" s="177"/>
      <c r="Q45" s="177"/>
      <c r="R45" s="40"/>
    </row>
    <row r="46" spans="2:18" ht="15.75" thickBot="1" x14ac:dyDescent="0.3">
      <c r="B46" s="39"/>
      <c r="C46" s="92" t="s">
        <v>197</v>
      </c>
      <c r="D46" s="92"/>
      <c r="R46" s="40"/>
    </row>
    <row r="47" spans="2:18" ht="16.5" thickTop="1" thickBot="1" x14ac:dyDescent="0.3">
      <c r="B47" s="39"/>
      <c r="C47" s="100" t="s">
        <v>198</v>
      </c>
      <c r="D47" s="101"/>
      <c r="R47" s="40"/>
    </row>
    <row r="48" spans="2:18" ht="15.75" thickTop="1" x14ac:dyDescent="0.25">
      <c r="B48" s="39"/>
      <c r="C48" s="102" t="s">
        <v>191</v>
      </c>
      <c r="D48" s="364" t="s">
        <v>195</v>
      </c>
      <c r="R48" s="40"/>
    </row>
    <row r="49" spans="2:18" x14ac:dyDescent="0.25">
      <c r="B49" s="39"/>
      <c r="C49" s="103" t="s">
        <v>192</v>
      </c>
      <c r="D49" s="365" t="s">
        <v>195</v>
      </c>
      <c r="R49" s="40"/>
    </row>
    <row r="50" spans="2:18" ht="15.75" thickBot="1" x14ac:dyDescent="0.3">
      <c r="B50" s="39"/>
      <c r="C50" s="46" t="s">
        <v>196</v>
      </c>
      <c r="D50" s="366" t="s">
        <v>195</v>
      </c>
      <c r="R50" s="40"/>
    </row>
    <row r="51" spans="2:18" ht="15.75" thickTop="1" x14ac:dyDescent="0.25">
      <c r="B51" s="39"/>
      <c r="R51" s="40"/>
    </row>
    <row r="52" spans="2:18" ht="15.75" thickBot="1" x14ac:dyDescent="0.3">
      <c r="B52" s="41"/>
      <c r="C52" s="42"/>
      <c r="D52" s="42"/>
      <c r="E52" s="42"/>
      <c r="F52" s="42"/>
      <c r="G52" s="42"/>
      <c r="H52" s="42"/>
      <c r="I52" s="42"/>
      <c r="J52" s="42"/>
      <c r="K52" s="42"/>
      <c r="L52" s="42"/>
      <c r="M52" s="42"/>
      <c r="N52" s="42"/>
      <c r="O52" s="42"/>
      <c r="P52" s="42"/>
      <c r="Q52" s="42"/>
      <c r="R52" s="43"/>
    </row>
    <row r="53" spans="2:18" x14ac:dyDescent="0.25">
      <c r="B53" s="17"/>
      <c r="C53" s="17"/>
      <c r="D53" s="17"/>
      <c r="E53" s="17"/>
    </row>
  </sheetData>
  <mergeCells count="12">
    <mergeCell ref="B1:R2"/>
    <mergeCell ref="B24:P24"/>
    <mergeCell ref="C37:E37"/>
    <mergeCell ref="C38:C39"/>
    <mergeCell ref="C40:C41"/>
    <mergeCell ref="B35:K35"/>
    <mergeCell ref="C36:E36"/>
    <mergeCell ref="C6:E6"/>
    <mergeCell ref="C26:D26"/>
    <mergeCell ref="C25:D25"/>
    <mergeCell ref="C5:E5"/>
    <mergeCell ref="B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X121"/>
  <sheetViews>
    <sheetView tabSelected="1" zoomScale="70" zoomScaleNormal="70" workbookViewId="0">
      <selection activeCell="K45" sqref="K45"/>
    </sheetView>
  </sheetViews>
  <sheetFormatPr defaultColWidth="9.140625" defaultRowHeight="15" x14ac:dyDescent="0.25"/>
  <cols>
    <col min="1" max="1" width="6.7109375" style="278" bestFit="1" customWidth="1"/>
    <col min="2" max="2" width="23.28515625" style="278" bestFit="1" customWidth="1"/>
    <col min="3" max="3" width="18.42578125" style="278" customWidth="1"/>
    <col min="4" max="4" width="18.7109375" style="278" bestFit="1" customWidth="1"/>
    <col min="5" max="5" width="12.42578125" style="278" bestFit="1" customWidth="1"/>
    <col min="6" max="6" width="11.42578125" style="278" bestFit="1" customWidth="1"/>
    <col min="7" max="7" width="13.7109375" style="278" customWidth="1"/>
    <col min="8" max="8" width="9.85546875" style="278" customWidth="1"/>
    <col min="9" max="9" width="9.140625" style="278"/>
    <col min="10" max="10" width="10.140625" style="278" customWidth="1"/>
    <col min="11" max="11" width="9.7109375" style="278" customWidth="1"/>
    <col min="12" max="12" width="10.5703125" style="278" customWidth="1"/>
    <col min="13" max="13" width="10.85546875" style="278" customWidth="1"/>
    <col min="14" max="14" width="8.7109375" style="278" customWidth="1"/>
    <col min="15" max="15" width="4" style="278" customWidth="1"/>
    <col min="16" max="16" width="7.140625" style="278" bestFit="1" customWidth="1"/>
    <col min="17" max="17" width="8.28515625" style="278" bestFit="1" customWidth="1"/>
    <col min="18" max="18" width="7.85546875" style="278" bestFit="1" customWidth="1"/>
    <col min="19" max="19" width="4" style="278" bestFit="1" customWidth="1"/>
    <col min="20" max="20" width="7.140625" style="278" bestFit="1" customWidth="1"/>
    <col min="21" max="21" width="6.28515625" style="278" bestFit="1" customWidth="1"/>
    <col min="22" max="22" width="5.42578125" style="278" bestFit="1" customWidth="1"/>
    <col min="23" max="28" width="9.140625" style="278"/>
    <col min="29" max="29" width="17.7109375" style="278" bestFit="1" customWidth="1"/>
    <col min="30" max="36" width="9.140625" style="278"/>
    <col min="37" max="37" width="17.7109375" style="278" bestFit="1" customWidth="1"/>
    <col min="38" max="49" width="9.140625" style="278"/>
    <col min="50" max="51" width="18" style="278" customWidth="1"/>
    <col min="52" max="53" width="9.140625" style="278"/>
    <col min="54" max="54" width="21.7109375" style="278" bestFit="1" customWidth="1"/>
    <col min="55" max="55" width="16.140625" style="278" customWidth="1"/>
    <col min="56" max="56" width="18.7109375" style="278" bestFit="1" customWidth="1"/>
    <col min="57" max="57" width="12.42578125" style="278" bestFit="1" customWidth="1"/>
    <col min="58" max="58" width="11.42578125" style="278" bestFit="1" customWidth="1"/>
    <col min="59" max="59" width="11.5703125" style="278" bestFit="1" customWidth="1"/>
    <col min="60" max="60" width="13.42578125" style="278" bestFit="1" customWidth="1"/>
    <col min="61" max="61" width="9.140625" style="278"/>
    <col min="62" max="62" width="21.7109375" style="278" bestFit="1" customWidth="1"/>
    <col min="63" max="67" width="9.140625" style="278"/>
    <col min="68" max="68" width="22.7109375" style="278" customWidth="1"/>
    <col min="69" max="16384" width="9.140625" style="278"/>
  </cols>
  <sheetData>
    <row r="1" spans="1:76" x14ac:dyDescent="0.25">
      <c r="A1" s="422"/>
      <c r="B1" s="423"/>
      <c r="C1" s="423"/>
      <c r="D1" s="423"/>
      <c r="E1" s="423"/>
      <c r="F1" s="4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424"/>
    </row>
    <row r="2" spans="1:76" ht="15.75" thickBot="1" x14ac:dyDescent="0.3">
      <c r="A2" s="425" t="s">
        <v>92</v>
      </c>
      <c r="B2" s="307"/>
      <c r="C2" s="307"/>
      <c r="D2" s="307"/>
      <c r="E2" s="307"/>
      <c r="F2" s="307"/>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322"/>
    </row>
    <row r="3" spans="1:76" ht="23.25" customHeight="1" thickTop="1" thickBot="1" x14ac:dyDescent="0.3">
      <c r="A3" s="427" t="s">
        <v>3</v>
      </c>
      <c r="B3" s="279" t="s">
        <v>186</v>
      </c>
      <c r="C3" s="279" t="s">
        <v>46</v>
      </c>
      <c r="D3" s="280" t="s">
        <v>0</v>
      </c>
      <c r="E3" s="281" t="s">
        <v>1</v>
      </c>
      <c r="F3" s="279" t="s">
        <v>2</v>
      </c>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322"/>
    </row>
    <row r="4" spans="1:76" ht="15.75" thickTop="1" x14ac:dyDescent="0.25">
      <c r="A4" s="428">
        <v>1</v>
      </c>
      <c r="B4" s="270" t="s">
        <v>67</v>
      </c>
      <c r="C4" s="282">
        <v>8</v>
      </c>
      <c r="D4" s="283">
        <v>8</v>
      </c>
      <c r="E4" s="284">
        <v>16</v>
      </c>
      <c r="F4" s="283">
        <v>32</v>
      </c>
      <c r="G4" s="426"/>
      <c r="H4" s="426"/>
      <c r="I4" s="426"/>
      <c r="J4" s="426"/>
      <c r="K4" s="426"/>
      <c r="L4" s="426"/>
      <c r="M4" s="426"/>
      <c r="N4" s="426"/>
      <c r="O4" s="426"/>
      <c r="P4" s="426"/>
      <c r="Q4" s="426"/>
      <c r="R4" s="426"/>
      <c r="S4" s="426"/>
      <c r="T4" s="426"/>
      <c r="U4" s="426"/>
      <c r="V4" s="426"/>
      <c r="W4" s="426"/>
      <c r="X4" s="426"/>
      <c r="Y4" s="426"/>
      <c r="Z4" s="426"/>
      <c r="AA4" s="426"/>
      <c r="AB4" s="426"/>
      <c r="AC4" s="426"/>
      <c r="AD4" s="426"/>
      <c r="AE4" s="426"/>
      <c r="AF4" s="426"/>
      <c r="AG4" s="426"/>
      <c r="AH4" s="426"/>
      <c r="AI4" s="426"/>
      <c r="AJ4" s="426"/>
      <c r="AK4" s="426"/>
      <c r="AL4" s="426"/>
      <c r="AM4" s="426"/>
      <c r="AN4" s="426"/>
      <c r="AO4" s="426"/>
      <c r="AP4" s="426"/>
      <c r="AQ4" s="426"/>
      <c r="AR4" s="322"/>
    </row>
    <row r="5" spans="1:76" x14ac:dyDescent="0.25">
      <c r="A5" s="429">
        <v>2</v>
      </c>
      <c r="B5" s="273" t="s">
        <v>4</v>
      </c>
      <c r="C5" s="285">
        <v>8</v>
      </c>
      <c r="D5" s="286">
        <v>8</v>
      </c>
      <c r="E5" s="287">
        <v>14</v>
      </c>
      <c r="F5" s="286">
        <v>30</v>
      </c>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322"/>
    </row>
    <row r="6" spans="1:76" x14ac:dyDescent="0.25">
      <c r="A6" s="429">
        <v>3</v>
      </c>
      <c r="B6" s="273" t="s">
        <v>47</v>
      </c>
      <c r="C6" s="285">
        <v>6</v>
      </c>
      <c r="D6" s="286">
        <v>6</v>
      </c>
      <c r="E6" s="287">
        <v>2</v>
      </c>
      <c r="F6" s="286">
        <v>14</v>
      </c>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322"/>
    </row>
    <row r="7" spans="1:76" ht="15.75" thickBot="1" x14ac:dyDescent="0.3">
      <c r="A7" s="430">
        <v>4</v>
      </c>
      <c r="B7" s="275" t="s">
        <v>49</v>
      </c>
      <c r="C7" s="288">
        <v>6</v>
      </c>
      <c r="D7" s="289">
        <v>6</v>
      </c>
      <c r="E7" s="290">
        <v>4</v>
      </c>
      <c r="F7" s="289">
        <v>16</v>
      </c>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322"/>
    </row>
    <row r="8" spans="1:76" ht="15.75" thickTop="1" x14ac:dyDescent="0.25">
      <c r="A8" s="431"/>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c r="AB8" s="426"/>
      <c r="AC8" s="426"/>
      <c r="AD8" s="426"/>
      <c r="AE8" s="426"/>
      <c r="AF8" s="426"/>
      <c r="AG8" s="426"/>
      <c r="AH8" s="426"/>
      <c r="AI8" s="426"/>
      <c r="AJ8" s="426"/>
      <c r="AK8" s="426"/>
      <c r="AL8" s="426"/>
      <c r="AM8" s="426"/>
      <c r="AN8" s="426"/>
      <c r="AO8" s="426"/>
      <c r="AP8" s="426"/>
      <c r="AQ8" s="426"/>
      <c r="AR8" s="322"/>
    </row>
    <row r="9" spans="1:76" x14ac:dyDescent="0.25">
      <c r="A9" s="431"/>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322"/>
    </row>
    <row r="10" spans="1:76" x14ac:dyDescent="0.25">
      <c r="A10" s="431"/>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322"/>
    </row>
    <row r="11" spans="1:76" ht="15.75" thickBot="1" x14ac:dyDescent="0.3">
      <c r="A11" s="432" t="s">
        <v>316</v>
      </c>
      <c r="B11" s="306"/>
      <c r="C11" s="306"/>
      <c r="D11" s="306"/>
      <c r="E11" s="306"/>
      <c r="F11" s="306"/>
      <c r="G11" s="306"/>
      <c r="H11" s="426"/>
      <c r="I11" s="426"/>
      <c r="J11" s="426"/>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322"/>
    </row>
    <row r="12" spans="1:76" ht="16.5" thickTop="1" thickBot="1" x14ac:dyDescent="0.3">
      <c r="A12" s="475" t="s">
        <v>260</v>
      </c>
      <c r="B12" s="477" t="s">
        <v>186</v>
      </c>
      <c r="C12" s="479" t="s">
        <v>297</v>
      </c>
      <c r="D12" s="481" t="s">
        <v>298</v>
      </c>
      <c r="E12" s="481"/>
      <c r="F12" s="481"/>
      <c r="G12" s="481"/>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426"/>
      <c r="AI12" s="426"/>
      <c r="AJ12" s="426"/>
      <c r="AK12" s="426"/>
      <c r="AL12" s="426"/>
      <c r="AM12" s="426"/>
      <c r="AN12" s="426"/>
      <c r="AO12" s="426"/>
      <c r="AP12" s="426"/>
      <c r="AQ12" s="426"/>
      <c r="AR12" s="322"/>
      <c r="BX12" s="9"/>
    </row>
    <row r="13" spans="1:76" ht="16.5" thickTop="1" thickBot="1" x14ac:dyDescent="0.3">
      <c r="A13" s="476"/>
      <c r="B13" s="478"/>
      <c r="C13" s="480"/>
      <c r="D13" s="277" t="s">
        <v>313</v>
      </c>
      <c r="E13" s="277" t="s">
        <v>46</v>
      </c>
      <c r="F13" s="277" t="s">
        <v>53</v>
      </c>
      <c r="G13" s="277" t="s">
        <v>1</v>
      </c>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426"/>
      <c r="AI13" s="426"/>
      <c r="AJ13" s="426"/>
      <c r="AK13" s="426"/>
      <c r="AL13" s="426"/>
      <c r="AM13" s="426"/>
      <c r="AN13" s="426"/>
      <c r="AO13" s="426"/>
      <c r="AP13" s="426"/>
      <c r="AQ13" s="426"/>
      <c r="AR13" s="322"/>
      <c r="BU13" s="294" t="s">
        <v>307</v>
      </c>
      <c r="BX13" s="9"/>
    </row>
    <row r="14" spans="1:76" ht="15.75" thickTop="1" x14ac:dyDescent="0.25">
      <c r="A14" s="415">
        <v>1</v>
      </c>
      <c r="B14" s="270" t="s">
        <v>67</v>
      </c>
      <c r="C14" s="291" cm="1">
        <f t="array" aca="1" ref="C14" ca="1">INDIRECT("'"&amp;$BU14&amp;"'!$AK$92")</f>
        <v>6.1754587307298294</v>
      </c>
      <c r="D14" s="291" t="str" cm="1">
        <f t="array" aca="1" ref="D14" ca="1">INDIRECT("'"&amp;$BU14&amp;"'!AL$92")</f>
        <v xml:space="preserve">na </v>
      </c>
      <c r="E14" s="291" cm="1">
        <f t="array" aca="1" ref="E14" ca="1">INDIRECT("'"&amp;$BU14&amp;"'!$AM$92")</f>
        <v>75.979972733596554</v>
      </c>
      <c r="F14" s="291" cm="1">
        <f t="array" aca="1" ref="F14" ca="1">INDIRECT("'"&amp;$BU14&amp;"'!$AN$92")</f>
        <v>70.612856334436529</v>
      </c>
      <c r="G14" s="291" cm="1">
        <f t="array" aca="1" ref="G14" ca="1">INDIRECT("'"&amp;$BU14&amp;"'!$AO$92")</f>
        <v>4.3895980938169862E-2</v>
      </c>
      <c r="H14" s="426"/>
      <c r="I14" s="426"/>
      <c r="J14" s="426"/>
      <c r="K14" s="426"/>
      <c r="L14" s="426"/>
      <c r="M14" s="426"/>
      <c r="N14" s="426"/>
      <c r="O14" s="426"/>
      <c r="P14" s="426"/>
      <c r="Q14" s="426"/>
      <c r="R14" s="426"/>
      <c r="S14" s="426"/>
      <c r="T14" s="426"/>
      <c r="U14" s="426"/>
      <c r="V14" s="426"/>
      <c r="W14" s="426"/>
      <c r="X14" s="426"/>
      <c r="Y14" s="426"/>
      <c r="Z14" s="426"/>
      <c r="AA14" s="426"/>
      <c r="AB14" s="426"/>
      <c r="AC14" s="426"/>
      <c r="AD14" s="426"/>
      <c r="AE14" s="426"/>
      <c r="AF14" s="426"/>
      <c r="AG14" s="426"/>
      <c r="AH14" s="426"/>
      <c r="AI14" s="426"/>
      <c r="AJ14" s="426"/>
      <c r="AK14" s="426"/>
      <c r="AL14" s="426"/>
      <c r="AM14" s="426"/>
      <c r="AN14" s="426"/>
      <c r="AO14" s="426"/>
      <c r="AP14" s="426"/>
      <c r="AQ14" s="426"/>
      <c r="AR14" s="322"/>
      <c r="BU14" s="296" t="s">
        <v>66</v>
      </c>
      <c r="BX14" s="9"/>
    </row>
    <row r="15" spans="1:76" x14ac:dyDescent="0.25">
      <c r="A15" s="411">
        <v>2</v>
      </c>
      <c r="B15" s="273" t="s">
        <v>4</v>
      </c>
      <c r="C15" s="292" cm="1">
        <f t="array" aca="1" ref="C15" ca="1">INDIRECT("'"&amp;$BU15&amp;"'!$AK$92")</f>
        <v>4.7836159264284985</v>
      </c>
      <c r="D15" s="292" t="str" cm="1">
        <f t="array" aca="1" ref="D15" ca="1">INDIRECT("'"&amp;$BU15&amp;"'!AL$92")</f>
        <v xml:space="preserve">na </v>
      </c>
      <c r="E15" s="292" cm="1">
        <f t="array" aca="1" ref="E15" ca="1">INDIRECT("'"&amp;$BU15&amp;"'!$AM$92")</f>
        <v>78.489196379118084</v>
      </c>
      <c r="F15" s="292" cm="1">
        <f t="array" aca="1" ref="F15" ca="1">INDIRECT("'"&amp;$BU15&amp;"'!$AN$92")</f>
        <v>73.38338340326942</v>
      </c>
      <c r="G15" s="292" cm="1">
        <f t="array" aca="1" ref="G15" ca="1">INDIRECT("'"&amp;$BU15&amp;"'!$AO$92")</f>
        <v>1.900471212569874E-2</v>
      </c>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26"/>
      <c r="AG15" s="426"/>
      <c r="AH15" s="426"/>
      <c r="AI15" s="426"/>
      <c r="AJ15" s="426"/>
      <c r="AK15" s="426"/>
      <c r="AL15" s="426"/>
      <c r="AM15" s="426"/>
      <c r="AN15" s="426"/>
      <c r="AO15" s="426"/>
      <c r="AP15" s="426"/>
      <c r="AQ15" s="426"/>
      <c r="AR15" s="322"/>
      <c r="BU15" s="296" t="s">
        <v>397</v>
      </c>
      <c r="BX15" s="9"/>
    </row>
    <row r="16" spans="1:76" x14ac:dyDescent="0.25">
      <c r="A16" s="411">
        <v>3</v>
      </c>
      <c r="B16" s="273" t="s">
        <v>47</v>
      </c>
      <c r="C16" s="292" cm="1">
        <f t="array" aca="1" ref="C16" ca="1">INDIRECT("'"&amp;$BU16&amp;"'!$AK$92")</f>
        <v>22.279743800983624</v>
      </c>
      <c r="D16" s="292" t="str" cm="1">
        <f t="array" aca="1" ref="D16" ca="1">INDIRECT("'"&amp;$BU16&amp;"'!AL$92")</f>
        <v xml:space="preserve">na </v>
      </c>
      <c r="E16" s="292" cm="1">
        <f t="array" aca="1" ref="E16" ca="1">INDIRECT("'"&amp;$BU16&amp;"'!$AM$92")</f>
        <v>51.362025357564164</v>
      </c>
      <c r="F16" s="292" cm="1">
        <f t="array" aca="1" ref="F16" ca="1">INDIRECT("'"&amp;$BU16&amp;"'!$AN$92")</f>
        <v>34.157322368738384</v>
      </c>
      <c r="G16" s="292" cm="1">
        <f t="array" aca="1" ref="G16" ca="1">INDIRECT("'"&amp;$BU16&amp;"'!$AO$92")</f>
        <v>6.3038318194321956</v>
      </c>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322"/>
      <c r="BU16" s="296" t="s">
        <v>398</v>
      </c>
      <c r="BX16" s="9"/>
    </row>
    <row r="17" spans="1:76" ht="15.75" thickBot="1" x14ac:dyDescent="0.3">
      <c r="A17" s="413">
        <v>4</v>
      </c>
      <c r="B17" s="275" t="s">
        <v>49</v>
      </c>
      <c r="C17" s="293" cm="1">
        <f t="array" aca="1" ref="C17" ca="1">INDIRECT("'"&amp;$BU17&amp;"'!$AK$92")</f>
        <v>10.466572974996788</v>
      </c>
      <c r="D17" s="293" t="str" cm="1">
        <f t="array" aca="1" ref="D17" ca="1">INDIRECT("'"&amp;$BU17&amp;"'!AL$92")</f>
        <v xml:space="preserve">na </v>
      </c>
      <c r="E17" s="293" cm="1">
        <f t="array" aca="1" ref="E17" ca="1">INDIRECT("'"&amp;$BU17&amp;"'!$AM$92")</f>
        <v>52.848710947163404</v>
      </c>
      <c r="F17" s="293" cm="1">
        <f t="array" aca="1" ref="F17" ca="1">INDIRECT("'"&amp;$BU17&amp;"'!$AN$92")</f>
        <v>38.787017117910516</v>
      </c>
      <c r="G17" s="293" cm="1">
        <f t="array" aca="1" ref="G17" ca="1">INDIRECT("'"&amp;$BU17&amp;"'!$AO$92")</f>
        <v>0.55936171319065453</v>
      </c>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322"/>
      <c r="BU17" s="296" t="s">
        <v>399</v>
      </c>
      <c r="BX17" s="9"/>
    </row>
    <row r="18" spans="1:76" ht="15.75" thickTop="1" x14ac:dyDescent="0.25">
      <c r="A18" s="431"/>
      <c r="B18" s="426"/>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322"/>
    </row>
    <row r="19" spans="1:76" x14ac:dyDescent="0.25">
      <c r="A19" s="431"/>
      <c r="B19" s="426"/>
      <c r="C19" s="426"/>
      <c r="D19" s="426"/>
      <c r="E19" s="426"/>
      <c r="F19" s="426"/>
      <c r="G19" s="426"/>
      <c r="H19" s="426"/>
      <c r="I19" s="433"/>
      <c r="J19" s="426"/>
      <c r="K19" s="426"/>
      <c r="L19" s="426"/>
      <c r="M19" s="426"/>
      <c r="N19" s="426"/>
      <c r="O19" s="426"/>
      <c r="P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322"/>
    </row>
    <row r="20" spans="1:76" x14ac:dyDescent="0.25">
      <c r="A20" s="431"/>
      <c r="B20" s="426"/>
      <c r="C20" s="426"/>
      <c r="D20" s="426"/>
      <c r="E20" s="426"/>
      <c r="F20" s="426"/>
      <c r="G20" s="426"/>
      <c r="H20" s="426"/>
      <c r="I20" s="433" t="s">
        <v>321</v>
      </c>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322"/>
    </row>
    <row r="21" spans="1:76" ht="15.75" thickBot="1" x14ac:dyDescent="0.3">
      <c r="A21" s="432" t="s">
        <v>317</v>
      </c>
      <c r="B21" s="306"/>
      <c r="C21" s="306"/>
      <c r="D21" s="306"/>
      <c r="E21" s="306"/>
      <c r="F21" s="306"/>
      <c r="G21" s="306"/>
      <c r="H21" s="306"/>
      <c r="I21" s="306"/>
      <c r="J21" s="306"/>
      <c r="K21" s="306"/>
      <c r="L21" s="306"/>
      <c r="M21" s="306"/>
      <c r="N21" s="30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322"/>
    </row>
    <row r="22" spans="1:76" ht="16.5" thickTop="1" thickBot="1" x14ac:dyDescent="0.3">
      <c r="A22" s="475" t="s">
        <v>260</v>
      </c>
      <c r="B22" s="477" t="s">
        <v>186</v>
      </c>
      <c r="C22" s="482" t="s">
        <v>359</v>
      </c>
      <c r="D22" s="482"/>
      <c r="E22" s="482"/>
      <c r="F22" s="482"/>
      <c r="G22" s="481" t="s">
        <v>315</v>
      </c>
      <c r="H22" s="481"/>
      <c r="I22" s="481"/>
      <c r="J22" s="481"/>
      <c r="K22" s="479" t="s">
        <v>301</v>
      </c>
      <c r="L22" s="479"/>
      <c r="M22" s="479"/>
      <c r="N22" s="479"/>
      <c r="O22" s="426"/>
      <c r="P22" s="426"/>
      <c r="Q22" s="426"/>
      <c r="R22" s="426"/>
      <c r="S22" s="426"/>
      <c r="T22" s="426"/>
      <c r="U22" s="426"/>
      <c r="V22" s="426"/>
      <c r="W22" s="426"/>
      <c r="X22" s="426"/>
      <c r="Y22" s="426"/>
      <c r="Z22" s="426"/>
      <c r="AA22" s="426"/>
      <c r="AB22" s="426"/>
      <c r="AC22" s="426"/>
      <c r="AD22" s="426"/>
      <c r="AE22" s="426"/>
      <c r="AF22" s="426"/>
      <c r="AG22" s="426"/>
      <c r="AH22" s="426"/>
      <c r="AI22" s="426"/>
      <c r="AJ22" s="426"/>
      <c r="AK22" s="426"/>
      <c r="AL22" s="426"/>
      <c r="AM22" s="426"/>
      <c r="AN22" s="426"/>
      <c r="AO22" s="426"/>
      <c r="AP22" s="426"/>
      <c r="AQ22" s="426"/>
      <c r="AR22" s="322"/>
    </row>
    <row r="23" spans="1:76" ht="16.5" thickTop="1" thickBot="1" x14ac:dyDescent="0.3">
      <c r="A23" s="476"/>
      <c r="B23" s="478"/>
      <c r="C23" s="410" t="s">
        <v>303</v>
      </c>
      <c r="D23" s="410" t="s">
        <v>185</v>
      </c>
      <c r="E23" s="410" t="s">
        <v>184</v>
      </c>
      <c r="F23" s="410" t="s">
        <v>304</v>
      </c>
      <c r="G23" s="410" t="s">
        <v>303</v>
      </c>
      <c r="H23" s="410" t="s">
        <v>185</v>
      </c>
      <c r="I23" s="410" t="s">
        <v>184</v>
      </c>
      <c r="J23" s="410" t="s">
        <v>304</v>
      </c>
      <c r="K23" s="410" t="s">
        <v>303</v>
      </c>
      <c r="L23" s="410" t="s">
        <v>185</v>
      </c>
      <c r="M23" s="410" t="s">
        <v>184</v>
      </c>
      <c r="N23" s="410" t="s">
        <v>304</v>
      </c>
      <c r="O23" s="426"/>
      <c r="P23" s="426"/>
      <c r="Q23" s="426"/>
      <c r="R23" s="426"/>
      <c r="S23" s="426"/>
      <c r="T23" s="426"/>
      <c r="U23" s="426"/>
      <c r="V23" s="426"/>
      <c r="W23" s="426"/>
      <c r="X23" s="426"/>
      <c r="Y23" s="426"/>
      <c r="Z23" s="426"/>
      <c r="AA23" s="426"/>
      <c r="AB23" s="426"/>
      <c r="AC23" s="426"/>
      <c r="AD23" s="426"/>
      <c r="AE23" s="426"/>
      <c r="AF23" s="426"/>
      <c r="AG23" s="426"/>
      <c r="AH23" s="426"/>
      <c r="AI23" s="426"/>
      <c r="AJ23" s="426"/>
      <c r="AK23" s="426"/>
      <c r="AL23" s="426"/>
      <c r="AM23" s="426"/>
      <c r="AN23" s="426"/>
      <c r="AO23" s="426"/>
      <c r="AP23" s="426"/>
      <c r="AQ23" s="426"/>
      <c r="AR23" s="322"/>
    </row>
    <row r="24" spans="1:76" ht="15.75" thickTop="1" x14ac:dyDescent="0.25">
      <c r="A24" s="415">
        <v>1</v>
      </c>
      <c r="B24" s="270" t="s">
        <v>67</v>
      </c>
      <c r="C24" s="295" t="str" cm="1">
        <f t="array" aca="1" ref="C24" ca="1">INDIRECT("'"&amp;$BU14&amp;"'!$AS$92")</f>
        <v>na</v>
      </c>
      <c r="D24" s="297" cm="1">
        <f t="array" aca="1" ref="D24" ca="1">INDIRECT("'"&amp;$BU14&amp;"'!$AT$92")</f>
        <v>1</v>
      </c>
      <c r="E24" s="297" cm="1">
        <f t="array" aca="1" ref="E24" ca="1">INDIRECT("'"&amp;$BU14&amp;"'!$AU$92")</f>
        <v>1</v>
      </c>
      <c r="F24" s="297" cm="1">
        <f t="array" aca="1" ref="F24" ca="1">INDIRECT("'"&amp;$BU14&amp;"'!$AV$92")</f>
        <v>1</v>
      </c>
      <c r="G24" s="295" t="str" cm="1">
        <f t="array" aca="1" ref="G24" ca="1">INDIRECT("'"&amp;$BU14&amp;"'!$AW$92")</f>
        <v>na</v>
      </c>
      <c r="H24" s="297" cm="1">
        <f t="array" aca="1" ref="H24" ca="1">INDIRECT("'"&amp;$BU14&amp;"'!$AX$92")</f>
        <v>2.6818053976420545E-3</v>
      </c>
      <c r="I24" s="297" cm="1">
        <f t="array" aca="1" ref="I24" ca="1">INDIRECT("'"&amp;$BU14&amp;"'!$AY$92")</f>
        <v>6.1337802805268137E-3</v>
      </c>
      <c r="J24" s="297" cm="1">
        <f t="array" aca="1" ref="J24" ca="1">INDIRECT("'"&amp;$BU14&amp;"'!$AZ$92")</f>
        <v>3.7879772717812232E-2</v>
      </c>
      <c r="K24" s="295" t="str" cm="1">
        <f t="array" aca="1" ref="K24" ca="1">INDIRECT("'"&amp;$BU14&amp;"'!$BA$92")</f>
        <v>na</v>
      </c>
      <c r="L24" s="297" cm="1">
        <f t="array" aca="1" ref="L24" ca="1">INDIRECT("'"&amp;$BU14&amp;"'!$BB$92")</f>
        <v>1</v>
      </c>
      <c r="M24" s="297" cm="1">
        <f t="array" aca="1" ref="M24" ca="1">INDIRECT("'"&amp;$BU14&amp;"'!$BC$92")</f>
        <v>1.5255208333333334</v>
      </c>
      <c r="N24" s="297" cm="1">
        <f t="array" aca="1" ref="N24" ca="1">INDIRECT("'"&amp;$BU14&amp;"'!$BD$92")</f>
        <v>1.65703125</v>
      </c>
      <c r="O24" s="426"/>
      <c r="P24" s="426"/>
      <c r="Q24" s="426"/>
      <c r="R24" s="426"/>
      <c r="S24" s="426"/>
      <c r="T24" s="426"/>
      <c r="U24" s="426"/>
      <c r="V24" s="426"/>
      <c r="W24" s="426"/>
      <c r="X24" s="426"/>
      <c r="Y24" s="426"/>
      <c r="Z24" s="426"/>
      <c r="AA24" s="426"/>
      <c r="AB24" s="426"/>
      <c r="AC24" s="426"/>
      <c r="AD24" s="426"/>
      <c r="AE24" s="426"/>
      <c r="AF24" s="426"/>
      <c r="AG24" s="426"/>
      <c r="AH24" s="426"/>
      <c r="AI24" s="426"/>
      <c r="AJ24" s="426"/>
      <c r="AK24" s="426"/>
      <c r="AL24" s="426"/>
      <c r="AM24" s="426"/>
      <c r="AN24" s="426"/>
      <c r="AO24" s="426"/>
      <c r="AP24" s="426"/>
      <c r="AQ24" s="426"/>
      <c r="AR24" s="322"/>
    </row>
    <row r="25" spans="1:76" x14ac:dyDescent="0.25">
      <c r="A25" s="411">
        <v>2</v>
      </c>
      <c r="B25" s="273" t="s">
        <v>4</v>
      </c>
      <c r="C25" s="298" t="str" cm="1">
        <f t="array" aca="1" ref="C25" ca="1">INDIRECT("'"&amp;$BU15&amp;"'!$AS$92")</f>
        <v>na</v>
      </c>
      <c r="D25" s="299" cm="1">
        <f t="array" aca="1" ref="D25" ca="1">INDIRECT("'"&amp;$BU15&amp;"'!$AT$92")</f>
        <v>1</v>
      </c>
      <c r="E25" s="299" cm="1">
        <f t="array" aca="1" ref="E25" ca="1">INDIRECT("'"&amp;$BU15&amp;"'!$AU$92")</f>
        <v>1</v>
      </c>
      <c r="F25" s="299" cm="1">
        <f t="array" aca="1" ref="F25" ca="1">INDIRECT("'"&amp;$BU15&amp;"'!$AV$92")</f>
        <v>1</v>
      </c>
      <c r="G25" s="298" t="str" cm="1">
        <f t="array" aca="1" ref="G25" ca="1">INDIRECT("'"&amp;$BU15&amp;"'!$AW$92")</f>
        <v>na</v>
      </c>
      <c r="H25" s="299" cm="1">
        <f t="array" aca="1" ref="H25" ca="1">INDIRECT("'"&amp;$BU15&amp;"'!$AX$92")</f>
        <v>2.683738769075432E-3</v>
      </c>
      <c r="I25" s="299" cm="1">
        <f t="array" aca="1" ref="I25" ca="1">INDIRECT("'"&amp;$BU15&amp;"'!$AY$92")</f>
        <v>5.0690106147069352E-3</v>
      </c>
      <c r="J25" s="299" cm="1">
        <f t="array" aca="1" ref="J25" ca="1">INDIRECT("'"&amp;$BU15&amp;"'!$AZ$92")</f>
        <v>4.1171059676162761E-2</v>
      </c>
      <c r="K25" s="298" t="str" cm="1">
        <f t="array" aca="1" ref="K25" ca="1">INDIRECT("'"&amp;$BU15&amp;"'!$BA$92")</f>
        <v>na</v>
      </c>
      <c r="L25" s="299" cm="1">
        <f t="array" aca="1" ref="L25" ca="1">INDIRECT("'"&amp;$BU15&amp;"'!$BB$92")</f>
        <v>1</v>
      </c>
      <c r="M25" s="299" cm="1">
        <f t="array" aca="1" ref="M25" ca="1">INDIRECT("'"&amp;$BU15&amp;"'!$BC$92")</f>
        <v>1.5255208333333332</v>
      </c>
      <c r="N25" s="299" cm="1">
        <f t="array" aca="1" ref="N25" ca="1">INDIRECT("'"&amp;$BU15&amp;"'!$BD$92")</f>
        <v>1.7133928571428572</v>
      </c>
      <c r="O25" s="426"/>
      <c r="P25" s="426"/>
      <c r="Q25" s="426"/>
      <c r="R25" s="426"/>
      <c r="S25" s="426"/>
      <c r="T25" s="426"/>
      <c r="U25" s="426"/>
      <c r="V25" s="426"/>
      <c r="W25" s="426"/>
      <c r="X25" s="426"/>
      <c r="Y25" s="426"/>
      <c r="Z25" s="426"/>
      <c r="AA25" s="426"/>
      <c r="AB25" s="426"/>
      <c r="AC25" s="426"/>
      <c r="AD25" s="426"/>
      <c r="AE25" s="426"/>
      <c r="AF25" s="426"/>
      <c r="AG25" s="426"/>
      <c r="AH25" s="426"/>
      <c r="AI25" s="426"/>
      <c r="AJ25" s="426"/>
      <c r="AK25" s="426"/>
      <c r="AL25" s="426"/>
      <c r="AM25" s="426"/>
      <c r="AN25" s="426"/>
      <c r="AO25" s="426"/>
      <c r="AP25" s="426"/>
      <c r="AQ25" s="426"/>
      <c r="AR25" s="322"/>
    </row>
    <row r="26" spans="1:76" x14ac:dyDescent="0.25">
      <c r="A26" s="411">
        <v>3</v>
      </c>
      <c r="B26" s="273" t="s">
        <v>47</v>
      </c>
      <c r="C26" s="298" t="str" cm="1">
        <f t="array" aca="1" ref="C26" ca="1">INDIRECT("'"&amp;$BU16&amp;"'!$AS$92")</f>
        <v>na</v>
      </c>
      <c r="D26" s="299" cm="1">
        <f t="array" aca="1" ref="D26" ca="1">INDIRECT("'"&amp;$BU16&amp;"'!$AT$92")</f>
        <v>2.2531802785095971</v>
      </c>
      <c r="E26" s="299" cm="1">
        <f t="array" aca="1" ref="E26" ca="1">INDIRECT("'"&amp;$BU16&amp;"'!$AU$92")</f>
        <v>2.4815787131796743</v>
      </c>
      <c r="F26" s="299" cm="1">
        <f t="array" aca="1" ref="F26" ca="1">INDIRECT("'"&amp;$BU16&amp;"'!$AV$92")</f>
        <v>0.26058832210143146</v>
      </c>
      <c r="G26" s="298" t="str" cm="1">
        <f t="array" aca="1" ref="G26" ca="1">INDIRECT("'"&amp;$BU16&amp;"'!$AW$92")</f>
        <v>na</v>
      </c>
      <c r="H26" s="299" cm="1">
        <f t="array" aca="1" ref="H26" ca="1">INDIRECT("'"&amp;$BU16&amp;"'!$AX$92")</f>
        <v>4.8002292025053081E-3</v>
      </c>
      <c r="I26" s="299" cm="1">
        <f t="array" aca="1" ref="I26" ca="1">INDIRECT("'"&amp;$BU16&amp;"'!$AY$92")</f>
        <v>9.0983041575331304E-3</v>
      </c>
      <c r="J26" s="299" cm="1">
        <f t="array" aca="1" ref="J26" ca="1">INDIRECT("'"&amp;$BU16&amp;"'!$AZ$92")</f>
        <v>9.0589570857825777E-2</v>
      </c>
      <c r="K26" s="298" t="str" cm="1">
        <f t="array" aca="1" ref="K26" ca="1">INDIRECT("'"&amp;$BU16&amp;"'!$BA$92")</f>
        <v>na</v>
      </c>
      <c r="L26" s="299" cm="1">
        <f t="array" aca="1" ref="L26" ca="1">INDIRECT("'"&amp;$BU16&amp;"'!$BB$92")</f>
        <v>1</v>
      </c>
      <c r="M26" s="299" cm="1">
        <f t="array" aca="1" ref="M26" ca="1">INDIRECT("'"&amp;$BU16&amp;"'!$BC$92")</f>
        <v>0.7715277777777777</v>
      </c>
      <c r="N26" s="299" cm="1">
        <f t="array" aca="1" ref="N26" ca="1">INDIRECT("'"&amp;$BU16&amp;"'!$BD$92")</f>
        <v>1.2625</v>
      </c>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322"/>
    </row>
    <row r="27" spans="1:76" ht="15.75" thickBot="1" x14ac:dyDescent="0.3">
      <c r="A27" s="413">
        <v>4</v>
      </c>
      <c r="B27" s="275" t="s">
        <v>49</v>
      </c>
      <c r="C27" s="300" t="str" cm="1">
        <f t="array" aca="1" ref="C27" ca="1">INDIRECT("'"&amp;$BU17&amp;"'!$AS$92")</f>
        <v>na</v>
      </c>
      <c r="D27" s="301" cm="1">
        <f t="array" aca="1" ref="D27" ca="1">INDIRECT("'"&amp;$BU17&amp;"'!$AT$92")</f>
        <v>2.0024087316522392</v>
      </c>
      <c r="E27" s="301" cm="1">
        <f t="array" aca="1" ref="E27" ca="1">INDIRECT("'"&amp;$BU17&amp;"'!$AU$92")</f>
        <v>2.1851027854409542</v>
      </c>
      <c r="F27" s="301" cm="1">
        <f t="array" aca="1" ref="F27" ca="1">INDIRECT("'"&amp;$BU17&amp;"'!$AV$92")</f>
        <v>0.74022332628265042</v>
      </c>
      <c r="G27" s="300" t="str" cm="1">
        <f t="array" aca="1" ref="G27" ca="1">INDIRECT("'"&amp;$BU17&amp;"'!$AW$92")</f>
        <v>na</v>
      </c>
      <c r="H27" s="301" cm="1">
        <f t="array" aca="1" ref="H27" ca="1">INDIRECT("'"&amp;$BU17&amp;"'!$AX$92")</f>
        <v>3.5755232180880794E-3</v>
      </c>
      <c r="I27" s="301" cm="1">
        <f t="array" aca="1" ref="I27" ca="1">INDIRECT("'"&amp;$BU17&amp;"'!$AY$92")</f>
        <v>9.2841651828535748E-3</v>
      </c>
      <c r="J27" s="301" cm="1">
        <f t="array" aca="1" ref="J27" ca="1">INDIRECT("'"&amp;$BU17&amp;"'!$AZ$92")</f>
        <v>4.4878152490877538E-2</v>
      </c>
      <c r="K27" s="300" t="str" cm="1">
        <f t="array" aca="1" ref="K27" ca="1">INDIRECT("'"&amp;$BU17&amp;"'!$BA$92")</f>
        <v>na</v>
      </c>
      <c r="L27" s="301" cm="1">
        <f t="array" aca="1" ref="L27" ca="1">INDIRECT("'"&amp;$BU17&amp;"'!$BB$92")</f>
        <v>1</v>
      </c>
      <c r="M27" s="301" cm="1">
        <f t="array" aca="1" ref="M27" ca="1">INDIRECT("'"&amp;$BU17&amp;"'!$BC$92")</f>
        <v>1.0520833333333333</v>
      </c>
      <c r="N27" s="301" cm="1">
        <f t="array" aca="1" ref="N27" ca="1">INDIRECT("'"&amp;$BU17&amp;"'!$BD$92")</f>
        <v>1.6833333333333331</v>
      </c>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322"/>
    </row>
    <row r="28" spans="1:76" ht="15.75" thickTop="1" x14ac:dyDescent="0.25">
      <c r="A28" s="431"/>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c r="AG28" s="426"/>
      <c r="AH28" s="426"/>
      <c r="AI28" s="426"/>
      <c r="AJ28" s="426"/>
      <c r="AK28" s="426"/>
      <c r="AL28" s="426"/>
      <c r="AM28" s="426"/>
      <c r="AN28" s="426"/>
      <c r="AO28" s="426"/>
      <c r="AP28" s="426"/>
      <c r="AQ28" s="426"/>
      <c r="AR28" s="322"/>
    </row>
    <row r="29" spans="1:76" x14ac:dyDescent="0.25">
      <c r="A29" s="431"/>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322"/>
    </row>
    <row r="30" spans="1:76" x14ac:dyDescent="0.25">
      <c r="A30" s="431"/>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1"/>
      <c r="AP30" s="421"/>
      <c r="AQ30" s="421"/>
      <c r="AR30" s="40"/>
      <c r="AS30" s="9"/>
      <c r="AT30" s="9"/>
      <c r="AU30" s="9"/>
      <c r="AV30" s="9"/>
      <c r="AW30" s="9"/>
      <c r="AX30" s="9"/>
      <c r="AY30" s="9"/>
      <c r="AZ30" s="9"/>
      <c r="BA30" s="9"/>
      <c r="BB30" s="9"/>
      <c r="BC30" s="9"/>
      <c r="BD30" s="9"/>
      <c r="BE30" s="9"/>
      <c r="BF30" s="9"/>
      <c r="BG30" s="9"/>
    </row>
    <row r="31" spans="1:76" ht="15.75" thickBot="1" x14ac:dyDescent="0.3">
      <c r="A31" s="432" t="s">
        <v>389</v>
      </c>
      <c r="B31" s="306"/>
      <c r="C31" s="306"/>
      <c r="D31" s="306"/>
      <c r="E31" s="306"/>
      <c r="F31" s="306"/>
      <c r="G31" s="30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6"/>
      <c r="AE31" s="426"/>
      <c r="AF31" s="426"/>
      <c r="AG31" s="426"/>
      <c r="AH31" s="426"/>
      <c r="AI31" s="426"/>
      <c r="AJ31" s="426"/>
      <c r="AK31" s="426"/>
      <c r="AL31" s="426"/>
      <c r="AM31" s="426"/>
      <c r="AN31" s="426"/>
      <c r="AO31" s="421"/>
      <c r="AP31" s="421"/>
      <c r="AQ31" s="421"/>
      <c r="AR31" s="40"/>
      <c r="AS31" s="9"/>
      <c r="AT31" s="9"/>
      <c r="AU31" s="9"/>
      <c r="AV31" s="9"/>
      <c r="AW31" s="9"/>
      <c r="AX31" s="9"/>
      <c r="AY31" s="9"/>
      <c r="AZ31" s="9"/>
      <c r="BA31" s="9"/>
      <c r="BB31" s="9"/>
      <c r="BC31" s="9"/>
      <c r="BD31" s="9"/>
      <c r="BE31" s="9"/>
      <c r="BF31" s="9"/>
      <c r="BG31" s="9"/>
      <c r="BI31" s="310" t="s">
        <v>319</v>
      </c>
      <c r="BJ31" s="310"/>
      <c r="BK31" s="310"/>
      <c r="BL31" s="310"/>
      <c r="BM31" s="310"/>
      <c r="BN31" s="310"/>
      <c r="BO31" s="310"/>
      <c r="BP31" s="311"/>
      <c r="BQ31" s="311"/>
      <c r="BR31" s="311"/>
    </row>
    <row r="32" spans="1:76" ht="16.5" thickTop="1" thickBot="1" x14ac:dyDescent="0.3">
      <c r="A32" s="475" t="s">
        <v>296</v>
      </c>
      <c r="B32" s="477" t="s">
        <v>186</v>
      </c>
      <c r="C32" s="479" t="s">
        <v>297</v>
      </c>
      <c r="D32" s="481" t="s">
        <v>298</v>
      </c>
      <c r="E32" s="481"/>
      <c r="F32" s="481"/>
      <c r="G32" s="481"/>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1"/>
      <c r="AP32" s="421"/>
      <c r="AQ32" s="421"/>
      <c r="AR32" s="40"/>
      <c r="AS32" s="9"/>
      <c r="AT32" s="9"/>
      <c r="AU32" s="9"/>
      <c r="AV32" s="9"/>
      <c r="AW32" s="9"/>
      <c r="AX32" s="9"/>
      <c r="AY32" s="9"/>
      <c r="AZ32" s="9"/>
      <c r="BA32" s="9"/>
      <c r="BB32" s="9"/>
      <c r="BC32" s="9"/>
      <c r="BD32" s="9"/>
      <c r="BE32" s="9"/>
      <c r="BF32" s="9"/>
      <c r="BG32" s="9"/>
      <c r="BI32" s="473" t="s">
        <v>260</v>
      </c>
      <c r="BJ32" s="473" t="s">
        <v>186</v>
      </c>
      <c r="BK32" s="470" t="s">
        <v>297</v>
      </c>
      <c r="BL32" s="472" t="s">
        <v>298</v>
      </c>
      <c r="BM32" s="472"/>
      <c r="BN32" s="472"/>
      <c r="BO32" s="472"/>
      <c r="BP32" s="311"/>
      <c r="BQ32" s="311"/>
      <c r="BR32" s="311"/>
    </row>
    <row r="33" spans="1:73" ht="16.5" customHeight="1" thickTop="1" thickBot="1" x14ac:dyDescent="0.3">
      <c r="A33" s="476"/>
      <c r="B33" s="478"/>
      <c r="C33" s="480"/>
      <c r="D33" s="277" t="s">
        <v>313</v>
      </c>
      <c r="E33" s="277" t="s">
        <v>46</v>
      </c>
      <c r="F33" s="277" t="s">
        <v>53</v>
      </c>
      <c r="G33" s="277" t="s">
        <v>1</v>
      </c>
      <c r="H33" s="426"/>
      <c r="I33" s="426"/>
      <c r="J33" s="426"/>
      <c r="K33" s="426"/>
      <c r="L33" s="426"/>
      <c r="M33" s="426"/>
      <c r="N33" s="426"/>
      <c r="O33" s="426"/>
      <c r="P33" s="426"/>
      <c r="Q33" s="426"/>
      <c r="R33" s="426"/>
      <c r="S33" s="426"/>
      <c r="T33" s="426"/>
      <c r="U33" s="426"/>
      <c r="V33" s="426"/>
      <c r="W33" s="426"/>
      <c r="X33" s="426"/>
      <c r="Y33" s="426"/>
      <c r="Z33" s="426"/>
      <c r="AA33" s="426"/>
      <c r="AB33" s="426"/>
      <c r="AC33" s="426"/>
      <c r="AD33" s="426"/>
      <c r="AE33" s="426"/>
      <c r="AF33" s="426"/>
      <c r="AG33" s="426"/>
      <c r="AH33" s="426"/>
      <c r="AI33" s="426"/>
      <c r="AJ33" s="426"/>
      <c r="AK33" s="426"/>
      <c r="AL33" s="426"/>
      <c r="AM33" s="426"/>
      <c r="AN33" s="426"/>
      <c r="AO33" s="421"/>
      <c r="AP33" s="421"/>
      <c r="AQ33" s="421"/>
      <c r="AR33" s="40"/>
      <c r="AS33" s="9"/>
      <c r="AT33" s="9"/>
      <c r="AU33" s="9"/>
      <c r="AV33" s="9"/>
      <c r="AW33" s="9"/>
      <c r="AX33" s="9"/>
      <c r="AY33" s="9"/>
      <c r="AZ33" s="9"/>
      <c r="BA33" s="9"/>
      <c r="BB33" s="9"/>
      <c r="BC33" s="9"/>
      <c r="BD33" s="9"/>
      <c r="BE33" s="9"/>
      <c r="BF33" s="9"/>
      <c r="BG33" s="9"/>
      <c r="BI33" s="474"/>
      <c r="BJ33" s="474"/>
      <c r="BK33" s="471"/>
      <c r="BL33" s="312" t="s">
        <v>313</v>
      </c>
      <c r="BM33" s="312" t="s">
        <v>46</v>
      </c>
      <c r="BN33" s="312" t="s">
        <v>53</v>
      </c>
      <c r="BO33" s="312" t="s">
        <v>1</v>
      </c>
      <c r="BP33" s="311" t="s">
        <v>318</v>
      </c>
      <c r="BQ33" s="311" t="s">
        <v>296</v>
      </c>
      <c r="BR33" s="311" t="s">
        <v>362</v>
      </c>
      <c r="BU33" s="294" t="s">
        <v>307</v>
      </c>
    </row>
    <row r="34" spans="1:73" ht="16.5" customHeight="1" thickTop="1" x14ac:dyDescent="0.25">
      <c r="A34" s="415">
        <f ca="1">IFERROR(INDEX($BQ$34:$BQ$37, MATCH($B34, $BJ$34:$BJ$37, 0)), "Not Found")</f>
        <v>1</v>
      </c>
      <c r="B34" s="416" t="str">
        <f ca="1">IFERROR(INDEX($BJ$34:$BJ$37, MATCH($BI34, $BR$34:$BR$37, 0)), "Not Found")</f>
        <v>RCI</v>
      </c>
      <c r="C34" s="291">
        <f ca="1">IFERROR(INDEX($BK$34:$BK$37, MATCH($B34, $BJ$34:$BJ$37, 0)), "Not Found")</f>
        <v>22.279743800983624</v>
      </c>
      <c r="D34" s="291" t="str">
        <f ca="1">IFERROR(INDEX($BL$34:$BL$37, MATCH($B34, $BJ$34:$BJ$37, 0)), "Not Found")</f>
        <v xml:space="preserve">na </v>
      </c>
      <c r="E34" s="291">
        <f ca="1">IFERROR(INDEX($BM$34:$BM$37, MATCH($B34, $BJ$34:$BJ$37, 0)), "Not Found")</f>
        <v>51.362025357564164</v>
      </c>
      <c r="F34" s="291">
        <f ca="1">IFERROR(INDEX($BN$34:$BN$37, MATCH($B34, $BJ$34:$BJ$37, 0)), "Not Found")</f>
        <v>34.157322368738384</v>
      </c>
      <c r="G34" s="291">
        <f ca="1">IFERROR(INDEX($BO$34:$BO$37, MATCH($B34, $BJ$34:$BJ$37, 0)), "Not Found")</f>
        <v>6.3038318194321956</v>
      </c>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0"/>
      <c r="AS34" s="9"/>
      <c r="AT34" s="9"/>
      <c r="AU34" s="9"/>
      <c r="AV34" s="9"/>
      <c r="AW34" s="9"/>
      <c r="AX34" s="9"/>
      <c r="AY34" s="9"/>
      <c r="AZ34" s="9"/>
      <c r="BA34" s="9"/>
      <c r="BB34" s="9"/>
      <c r="BC34" s="9"/>
      <c r="BD34" s="9"/>
      <c r="BE34" s="9"/>
      <c r="BF34" s="9"/>
      <c r="BG34" s="9"/>
      <c r="BI34" s="313">
        <v>1</v>
      </c>
      <c r="BJ34" s="314" t="s">
        <v>67</v>
      </c>
      <c r="BK34" s="315" cm="1">
        <f t="array" aca="1" ref="BK34" ca="1">INDIRECT("'"&amp;$BU34&amp;"'!$AK$92")</f>
        <v>6.1754587307298294</v>
      </c>
      <c r="BL34" s="315" t="str" cm="1">
        <f t="array" aca="1" ref="BL34" ca="1">INDIRECT("'"&amp;$BU34&amp;"'!AL$92")</f>
        <v xml:space="preserve">na </v>
      </c>
      <c r="BM34" s="315" cm="1">
        <f t="array" aca="1" ref="BM34" ca="1">INDIRECT("'"&amp;$BU34&amp;"'!$AM$92")</f>
        <v>75.979972733596554</v>
      </c>
      <c r="BN34" s="315" cm="1">
        <f t="array" aca="1" ref="BN34" ca="1">INDIRECT("'"&amp;$BU34&amp;"'!$AN$92")</f>
        <v>70.612856334436529</v>
      </c>
      <c r="BO34" s="315" cm="1">
        <f t="array" aca="1" ref="BO34" ca="1">INDIRECT("'"&amp;$BU34&amp;"'!$AO$92")</f>
        <v>4.3895980938169862E-2</v>
      </c>
      <c r="BP34" s="311">
        <f ca="1">BK34+ BO34/10 + BN34/100 + BM34/1000</f>
        <v>6.9619568649016079</v>
      </c>
      <c r="BQ34" s="311">
        <f ca="1">_xlfn.RANK.EQ(BP34,$BP$34:$BP$37, 0)</f>
        <v>3</v>
      </c>
      <c r="BR34" s="311">
        <f ca="1">RANK(BQ34, $BQ$34:$BQ$37,1) + COUNTIFS($BQ$34:$BQ$37, BQ34, $BJ$34:$BJ$37, "&gt;" &amp; BJ34)</f>
        <v>3</v>
      </c>
      <c r="BU34" s="296" t="s">
        <v>66</v>
      </c>
    </row>
    <row r="35" spans="1:73" x14ac:dyDescent="0.25">
      <c r="A35" s="411">
        <f ca="1">IFERROR(INDEX($BQ$34:$BQ$37, MATCH($B35, $BJ$34:$BJ$37, 0)), "Not Found")</f>
        <v>2</v>
      </c>
      <c r="B35" s="412" t="str">
        <f ca="1">IFERROR(INDEX($BJ$34:$BJ$37, MATCH($BI35, $BR$34:$BR$37, 0)), "Not Found")</f>
        <v>Two-phase MUT</v>
      </c>
      <c r="C35" s="292">
        <f ca="1">IFERROR(INDEX($BK$34:$BK$37, MATCH($B35, $BJ$34:$BJ$37, 0)), "Not Found")</f>
        <v>10.466572974996788</v>
      </c>
      <c r="D35" s="292" t="str">
        <f ca="1">IFERROR(INDEX($BL$34:$BL$37, MATCH($B35, $BJ$34:$BJ$37, 0)), "Not Found")</f>
        <v xml:space="preserve">na </v>
      </c>
      <c r="E35" s="292">
        <f ca="1">IFERROR(INDEX($BM$34:$BM$37, MATCH($B35, $BJ$34:$BJ$37, 0)), "Not Found")</f>
        <v>52.848710947163404</v>
      </c>
      <c r="F35" s="292">
        <f ca="1">IFERROR(INDEX($BN$34:$BN$37, MATCH($B35, $BJ$34:$BJ$37, 0)), "Not Found")</f>
        <v>38.787017117910516</v>
      </c>
      <c r="G35" s="292">
        <f ca="1">IFERROR(INDEX($BO$34:$BO$37, MATCH($B35, $BJ$34:$BJ$37, 0)), "Not Found")</f>
        <v>0.55936171319065453</v>
      </c>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c r="AR35" s="40"/>
      <c r="AS35" s="9"/>
      <c r="AT35" s="9"/>
      <c r="AU35" s="9"/>
      <c r="AV35" s="9"/>
      <c r="AW35" s="9"/>
      <c r="AX35" s="9"/>
      <c r="AY35" s="9"/>
      <c r="AZ35" s="9"/>
      <c r="BA35" s="9"/>
      <c r="BB35" s="9"/>
      <c r="BC35" s="9"/>
      <c r="BD35" s="9"/>
      <c r="BE35" s="9"/>
      <c r="BF35" s="9"/>
      <c r="BG35" s="9"/>
      <c r="BI35" s="316">
        <v>2</v>
      </c>
      <c r="BJ35" s="317" t="s">
        <v>4</v>
      </c>
      <c r="BK35" s="318" cm="1">
        <f t="array" aca="1" ref="BK35" ca="1">INDIRECT("'"&amp;$BU35&amp;"'!$AK$92")</f>
        <v>4.7836159264284985</v>
      </c>
      <c r="BL35" s="318" t="str" cm="1">
        <f t="array" aca="1" ref="BL35" ca="1">INDIRECT("'"&amp;$BU35&amp;"'!AL$92")</f>
        <v xml:space="preserve">na </v>
      </c>
      <c r="BM35" s="318" cm="1">
        <f t="array" aca="1" ref="BM35" ca="1">INDIRECT("'"&amp;$BU35&amp;"'!$AM$92")</f>
        <v>78.489196379118084</v>
      </c>
      <c r="BN35" s="318" cm="1">
        <f t="array" aca="1" ref="BN35" ca="1">INDIRECT("'"&amp;$BU35&amp;"'!$AN$92")</f>
        <v>73.38338340326942</v>
      </c>
      <c r="BO35" s="318" cm="1">
        <f t="array" aca="1" ref="BO35" ca="1">INDIRECT("'"&amp;$BU35&amp;"'!$AO$92")</f>
        <v>1.900471212569874E-2</v>
      </c>
      <c r="BP35" s="311">
        <f t="shared" ref="BP35:BP37" ca="1" si="0">BK35+ BO35/10 + BN35/100 + BM35/1000</f>
        <v>5.5978394280528807</v>
      </c>
      <c r="BQ35" s="311">
        <f ca="1">_xlfn.RANK.EQ(BP35,$BP$34:$BP$37, 0)</f>
        <v>4</v>
      </c>
      <c r="BR35" s="311">
        <f ca="1">RANK(BQ35, $BQ$34:$BQ$37,1) + COUNTIFS($BQ$34:$BQ$37, BQ35, $BJ$34:$BJ$37, "&gt;" &amp; BJ35)</f>
        <v>4</v>
      </c>
      <c r="BU35" s="296" t="s">
        <v>397</v>
      </c>
    </row>
    <row r="36" spans="1:73" x14ac:dyDescent="0.25">
      <c r="A36" s="411">
        <f ca="1">IFERROR(INDEX($BQ$34:$BQ$37, MATCH($B36, $BJ$34:$BJ$37, 0)), "Not Found")</f>
        <v>3</v>
      </c>
      <c r="B36" s="412" t="str">
        <f ca="1">IFERROR(INDEX($BJ$34:$BJ$37, MATCH($BI36, $BR$34:$BR$37, 0)), "Not Found")</f>
        <v>Conventional</v>
      </c>
      <c r="C36" s="292">
        <f ca="1">IFERROR(INDEX($BK$34:$BK$37, MATCH($B36, $BJ$34:$BJ$37, 0)), "Not Found")</f>
        <v>6.1754587307298294</v>
      </c>
      <c r="D36" s="292" t="str">
        <f ca="1">IFERROR(INDEX($BL$34:$BL$37, MATCH($B36, $BJ$34:$BJ$37, 0)), "Not Found")</f>
        <v xml:space="preserve">na </v>
      </c>
      <c r="E36" s="292">
        <f ca="1">IFERROR(INDEX($BM$34:$BM$37, MATCH($B36, $BJ$34:$BJ$37, 0)), "Not Found")</f>
        <v>75.979972733596554</v>
      </c>
      <c r="F36" s="292">
        <f ca="1">IFERROR(INDEX($BN$34:$BN$37, MATCH($B36, $BJ$34:$BJ$37, 0)), "Not Found")</f>
        <v>70.612856334436529</v>
      </c>
      <c r="G36" s="292">
        <f ca="1">IFERROR(INDEX($BO$34:$BO$37, MATCH($B36, $BJ$34:$BJ$37, 0)), "Not Found")</f>
        <v>4.3895980938169862E-2</v>
      </c>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0"/>
      <c r="AS36" s="9"/>
      <c r="AT36" s="9"/>
      <c r="AU36" s="9"/>
      <c r="AV36" s="9"/>
      <c r="AW36" s="9"/>
      <c r="AX36" s="9"/>
      <c r="AY36" s="9"/>
      <c r="AZ36" s="9"/>
      <c r="BA36" s="9"/>
      <c r="BB36" s="9"/>
      <c r="BC36" s="9"/>
      <c r="BD36" s="9"/>
      <c r="BE36" s="9"/>
      <c r="BF36" s="9"/>
      <c r="BG36" s="9"/>
      <c r="BI36" s="316">
        <v>3</v>
      </c>
      <c r="BJ36" s="317" t="s">
        <v>47</v>
      </c>
      <c r="BK36" s="318" cm="1">
        <f t="array" aca="1" ref="BK36" ca="1">INDIRECT("'"&amp;$BU36&amp;"'!$AK$92")</f>
        <v>22.279743800983624</v>
      </c>
      <c r="BL36" s="318" t="str" cm="1">
        <f t="array" aca="1" ref="BL36" ca="1">INDIRECT("'"&amp;$BU36&amp;"'!AL$92")</f>
        <v xml:space="preserve">na </v>
      </c>
      <c r="BM36" s="318" cm="1">
        <f t="array" aca="1" ref="BM36" ca="1">INDIRECT("'"&amp;$BU36&amp;"'!$AM$92")</f>
        <v>51.362025357564164</v>
      </c>
      <c r="BN36" s="318" cm="1">
        <f t="array" aca="1" ref="BN36" ca="1">INDIRECT("'"&amp;$BU36&amp;"'!$AN$92")</f>
        <v>34.157322368738384</v>
      </c>
      <c r="BO36" s="318" cm="1">
        <f t="array" aca="1" ref="BO36" ca="1">INDIRECT("'"&amp;$BU36&amp;"'!$AO$92")</f>
        <v>6.3038318194321956</v>
      </c>
      <c r="BP36" s="311">
        <f t="shared" ca="1" si="0"/>
        <v>23.30306223197179</v>
      </c>
      <c r="BQ36" s="311">
        <f ca="1">_xlfn.RANK.EQ(BP36,$BP$34:$BP$37, 0)</f>
        <v>1</v>
      </c>
      <c r="BR36" s="311">
        <f ca="1">RANK(BQ36, $BQ$34:$BQ$37,1) + COUNTIFS($BQ$34:$BQ$37, BQ36, $BJ$34:$BJ$37, "&gt;" &amp; BJ36)</f>
        <v>1</v>
      </c>
      <c r="BU36" s="296" t="s">
        <v>398</v>
      </c>
    </row>
    <row r="37" spans="1:73" ht="15.75" thickBot="1" x14ac:dyDescent="0.3">
      <c r="A37" s="413">
        <f ca="1">IFERROR(INDEX($BQ$34:$BQ$37, MATCH($B37, $BJ$34:$BJ$37, 0)), "Not Found")</f>
        <v>4</v>
      </c>
      <c r="B37" s="414" t="str">
        <f ca="1">IFERROR(INDEX($BJ$34:$BJ$37, MATCH($BI37, $BR$34:$BR$37, 0)), "Not Found")</f>
        <v>Partial CFI</v>
      </c>
      <c r="C37" s="293">
        <f ca="1">IFERROR(INDEX($BK$34:$BK$37, MATCH($B37, $BJ$34:$BJ$37, 0)), "Not Found")</f>
        <v>4.7836159264284985</v>
      </c>
      <c r="D37" s="293" t="str">
        <f ca="1">IFERROR(INDEX($BL$34:$BL$37, MATCH($B37, $BJ$34:$BJ$37, 0)), "Not Found")</f>
        <v xml:space="preserve">na </v>
      </c>
      <c r="E37" s="293">
        <f ca="1">IFERROR(INDEX($BM$34:$BM$37, MATCH($B37, $BJ$34:$BJ$37, 0)), "Not Found")</f>
        <v>78.489196379118084</v>
      </c>
      <c r="F37" s="293">
        <f ca="1">IFERROR(INDEX($BN$34:$BN$37, MATCH($B37, $BJ$34:$BJ$37, 0)), "Not Found")</f>
        <v>73.38338340326942</v>
      </c>
      <c r="G37" s="293">
        <f ca="1">IFERROR(INDEX($BO$34:$BO$37, MATCH($B37, $BJ$34:$BJ$37, 0)), "Not Found")</f>
        <v>1.900471212569874E-2</v>
      </c>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c r="AJ37" s="421"/>
      <c r="AK37" s="421"/>
      <c r="AL37" s="421"/>
      <c r="AM37" s="421"/>
      <c r="AN37" s="421"/>
      <c r="AO37" s="421"/>
      <c r="AP37" s="421"/>
      <c r="AQ37" s="421"/>
      <c r="AR37" s="40"/>
      <c r="AS37" s="9"/>
      <c r="AT37" s="9"/>
      <c r="AU37" s="9"/>
      <c r="AV37" s="9"/>
      <c r="AW37" s="9"/>
      <c r="AX37" s="9"/>
      <c r="AY37" s="9"/>
      <c r="AZ37" s="9"/>
      <c r="BA37" s="9"/>
      <c r="BB37" s="9"/>
      <c r="BC37" s="9"/>
      <c r="BD37" s="9"/>
      <c r="BE37" s="9"/>
      <c r="BF37" s="9"/>
      <c r="BG37" s="9"/>
      <c r="BI37" s="319">
        <v>4</v>
      </c>
      <c r="BJ37" s="320" t="s">
        <v>49</v>
      </c>
      <c r="BK37" s="321" cm="1">
        <f t="array" aca="1" ref="BK37" ca="1">INDIRECT("'"&amp;$BU37&amp;"'!$AK$92")</f>
        <v>10.466572974996788</v>
      </c>
      <c r="BL37" s="321" t="str" cm="1">
        <f t="array" aca="1" ref="BL37" ca="1">INDIRECT("'"&amp;$BU37&amp;"'!AL$92")</f>
        <v xml:space="preserve">na </v>
      </c>
      <c r="BM37" s="321" cm="1">
        <f t="array" aca="1" ref="BM37" ca="1">INDIRECT("'"&amp;$BU37&amp;"'!$AM$92")</f>
        <v>52.848710947163404</v>
      </c>
      <c r="BN37" s="321" cm="1">
        <f t="array" aca="1" ref="BN37" ca="1">INDIRECT("'"&amp;$BU37&amp;"'!$AN$92")</f>
        <v>38.787017117910516</v>
      </c>
      <c r="BO37" s="321" cm="1">
        <f t="array" aca="1" ref="BO37" ca="1">INDIRECT("'"&amp;$BU37&amp;"'!$AO$92")</f>
        <v>0.55936171319065453</v>
      </c>
      <c r="BP37" s="311">
        <f t="shared" ca="1" si="0"/>
        <v>10.963228028442122</v>
      </c>
      <c r="BQ37" s="311">
        <f ca="1">_xlfn.RANK.EQ(BP37,$BP$34:$BP$37, 0)</f>
        <v>2</v>
      </c>
      <c r="BR37" s="311">
        <f ca="1">RANK(BQ37, $BQ$34:$BQ$37,1) + COUNTIFS($BQ$34:$BQ$37, BQ37, $BJ$34:$BJ$37, "&gt;" &amp; BJ37)</f>
        <v>2</v>
      </c>
      <c r="BU37" s="296" t="s">
        <v>399</v>
      </c>
    </row>
    <row r="38" spans="1:73" ht="15.75" thickTop="1" x14ac:dyDescent="0.25">
      <c r="A38" s="39"/>
      <c r="B38" s="421"/>
      <c r="C38" s="421"/>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c r="AJ38" s="421"/>
      <c r="AK38" s="421"/>
      <c r="AL38" s="421"/>
      <c r="AM38" s="421"/>
      <c r="AN38" s="421"/>
      <c r="AO38" s="421"/>
      <c r="AP38" s="421"/>
      <c r="AQ38" s="421"/>
      <c r="AR38" s="40"/>
      <c r="AS38" s="9"/>
      <c r="AT38" s="9"/>
      <c r="AU38" s="9"/>
      <c r="AV38" s="9"/>
      <c r="AW38" s="9"/>
      <c r="AX38" s="9"/>
      <c r="AY38" s="9"/>
      <c r="AZ38" s="9"/>
      <c r="BA38" s="9"/>
      <c r="BB38" s="9"/>
      <c r="BC38" s="9"/>
      <c r="BD38" s="9"/>
      <c r="BE38" s="9"/>
      <c r="BF38" s="9"/>
      <c r="BG38" s="9"/>
    </row>
    <row r="39" spans="1:73" x14ac:dyDescent="0.25">
      <c r="A39" s="39"/>
      <c r="B39" s="421"/>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0"/>
      <c r="AS39" s="9"/>
      <c r="AT39" s="9"/>
      <c r="AU39" s="9"/>
      <c r="AV39" s="9"/>
      <c r="AW39" s="9"/>
      <c r="AX39" s="9"/>
      <c r="AY39" s="9"/>
      <c r="AZ39" s="9"/>
      <c r="BA39" s="9"/>
      <c r="BB39" s="9"/>
      <c r="BC39" s="9"/>
      <c r="BD39" s="9"/>
      <c r="BE39" s="9"/>
      <c r="BF39" s="9"/>
      <c r="BG39" s="9"/>
    </row>
    <row r="40" spans="1:73" x14ac:dyDescent="0.25">
      <c r="A40" s="39"/>
      <c r="B40" s="421"/>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0"/>
      <c r="AS40" s="9"/>
      <c r="AT40" s="9"/>
      <c r="AU40" s="9"/>
      <c r="AV40" s="9"/>
      <c r="AW40" s="9"/>
      <c r="AX40" s="9"/>
      <c r="AY40" s="9"/>
      <c r="AZ40" s="9"/>
      <c r="BA40" s="9"/>
      <c r="BB40" s="9"/>
      <c r="BC40" s="9"/>
      <c r="BD40" s="9"/>
      <c r="BE40" s="9"/>
      <c r="BF40" s="9"/>
      <c r="BG40" s="9"/>
    </row>
    <row r="41" spans="1:73" ht="15.75" thickBot="1" x14ac:dyDescent="0.3">
      <c r="A41" s="434" t="s">
        <v>320</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3"/>
      <c r="AS41" s="9"/>
      <c r="AT41" s="9"/>
      <c r="AU41" s="9"/>
      <c r="AV41" s="9"/>
      <c r="AW41" s="9"/>
      <c r="AX41" s="9"/>
      <c r="AY41" s="9"/>
      <c r="AZ41" s="9"/>
      <c r="BA41" s="9"/>
      <c r="BB41" s="9"/>
      <c r="BC41" s="9"/>
      <c r="BD41" s="9"/>
      <c r="BE41" s="9"/>
      <c r="BF41" s="9"/>
      <c r="BG41" s="9"/>
    </row>
    <row r="42" spans="1:73" x14ac:dyDescent="0.25">
      <c r="F42" s="421"/>
      <c r="G42" s="421"/>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row>
    <row r="43" spans="1:73"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row>
    <row r="44" spans="1:73"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row>
    <row r="45" spans="1:73"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row>
    <row r="46" spans="1:73"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73"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row>
    <row r="48" spans="1:73"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row>
    <row r="49" spans="1:59"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row>
    <row r="50" spans="1:59"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row>
    <row r="51" spans="1:59"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BC51" s="9"/>
      <c r="BD51" s="9"/>
      <c r="BE51" s="9"/>
      <c r="BF51" s="9"/>
      <c r="BG51" s="9"/>
    </row>
    <row r="52" spans="1:59" x14ac:dyDescent="0.2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BC52" s="9"/>
      <c r="BD52" s="9"/>
      <c r="BE52" s="9"/>
      <c r="BF52" s="9"/>
      <c r="BG52" s="9"/>
    </row>
    <row r="53" spans="1:59" x14ac:dyDescent="0.2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row>
    <row r="54" spans="1:59" x14ac:dyDescent="0.2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row>
    <row r="55" spans="1:59" x14ac:dyDescent="0.2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row>
    <row r="56" spans="1:59" x14ac:dyDescent="0.2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row>
    <row r="57" spans="1:59" x14ac:dyDescent="0.2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row>
    <row r="58" spans="1:59" x14ac:dyDescent="0.2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row>
    <row r="59" spans="1:59" x14ac:dyDescent="0.2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row>
    <row r="60" spans="1:59" x14ac:dyDescent="0.2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row>
    <row r="61" spans="1:59" x14ac:dyDescent="0.2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row>
    <row r="62" spans="1:59" x14ac:dyDescent="0.2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row>
    <row r="93" spans="5:5" ht="49.9" customHeight="1" x14ac:dyDescent="0.25">
      <c r="E93" s="302"/>
    </row>
    <row r="121" spans="5:5" x14ac:dyDescent="0.25">
      <c r="E121" s="302"/>
    </row>
  </sheetData>
  <sortState ref="BJ34:BO37">
    <sortCondition descending="1" ref="BK34:BK37"/>
    <sortCondition descending="1" ref="BO34:BO37"/>
    <sortCondition descending="1" ref="BN34:BN37"/>
    <sortCondition descending="1" ref="BM34:BM37"/>
  </sortState>
  <mergeCells count="17">
    <mergeCell ref="G22:J22"/>
    <mergeCell ref="K22:N22"/>
    <mergeCell ref="A12:A13"/>
    <mergeCell ref="B12:B13"/>
    <mergeCell ref="C12:C13"/>
    <mergeCell ref="D12:G12"/>
    <mergeCell ref="A22:A23"/>
    <mergeCell ref="B22:B23"/>
    <mergeCell ref="C22:F22"/>
    <mergeCell ref="BK32:BK33"/>
    <mergeCell ref="BL32:BO32"/>
    <mergeCell ref="BI32:BI33"/>
    <mergeCell ref="BJ32:BJ33"/>
    <mergeCell ref="A32:A33"/>
    <mergeCell ref="B32:B33"/>
    <mergeCell ref="C32:C33"/>
    <mergeCell ref="D32:G32"/>
  </mergeCells>
  <phoneticPr fontId="23" type="noConversion"/>
  <pageMargins left="0.7" right="0.7" top="0.75" bottom="0.75" header="0.3" footer="0.3"/>
  <pageSetup orientation="portrait" horizontalDpi="300"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zoomScale="85" zoomScaleNormal="85" workbookViewId="0">
      <selection activeCell="E35" sqref="E35"/>
    </sheetView>
  </sheetViews>
  <sheetFormatPr defaultColWidth="9.140625" defaultRowHeight="15" x14ac:dyDescent="0.25"/>
  <cols>
    <col min="1" max="7" width="9.140625" style="9"/>
    <col min="8" max="8" width="10.140625" style="9" customWidth="1"/>
    <col min="9" max="11" width="9.140625" style="9"/>
    <col min="12" max="12" width="8.28515625" style="9" customWidth="1"/>
    <col min="13" max="13" width="12.140625" style="9" customWidth="1"/>
    <col min="14" max="19" width="9.140625" style="9"/>
    <col min="20" max="20" width="10.42578125" style="9" customWidth="1"/>
    <col min="21" max="26" width="9.140625" style="9"/>
    <col min="27" max="27" width="10.7109375" style="9" customWidth="1"/>
    <col min="28" max="16384" width="9.140625" style="9"/>
  </cols>
  <sheetData>
    <row r="1" spans="1:27" ht="15.75" thickBot="1" x14ac:dyDescent="0.3">
      <c r="A1" s="579" t="s">
        <v>352</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1"/>
    </row>
    <row r="2" spans="1:27" ht="15.75" thickBot="1" x14ac:dyDescent="0.3">
      <c r="A2" s="582" t="s">
        <v>168</v>
      </c>
      <c r="B2" s="583"/>
      <c r="C2" s="583"/>
      <c r="D2" s="583"/>
      <c r="E2" s="583"/>
      <c r="F2" s="584"/>
      <c r="G2" s="276"/>
      <c r="H2" s="585" t="s">
        <v>213</v>
      </c>
      <c r="I2" s="586"/>
      <c r="J2" s="586"/>
      <c r="K2" s="586"/>
      <c r="L2" s="586"/>
      <c r="M2" s="587"/>
      <c r="N2" s="276"/>
      <c r="O2" s="588" t="s">
        <v>248</v>
      </c>
      <c r="P2" s="589"/>
      <c r="Q2" s="589"/>
      <c r="R2" s="589"/>
      <c r="S2" s="589"/>
      <c r="T2" s="590"/>
      <c r="U2" s="276"/>
      <c r="V2" s="591" t="s">
        <v>241</v>
      </c>
      <c r="W2" s="592"/>
      <c r="X2" s="592"/>
      <c r="Y2" s="592"/>
      <c r="Z2" s="592"/>
      <c r="AA2" s="593"/>
    </row>
    <row r="3" spans="1:27" ht="15" customHeight="1" x14ac:dyDescent="0.25">
      <c r="A3" s="564" t="s">
        <v>363</v>
      </c>
      <c r="B3" s="565"/>
      <c r="C3" s="565"/>
      <c r="D3" s="565"/>
      <c r="E3" s="565"/>
      <c r="F3" s="566"/>
      <c r="G3" s="368"/>
      <c r="H3" s="492" t="s">
        <v>365</v>
      </c>
      <c r="I3" s="493"/>
      <c r="J3" s="493"/>
      <c r="K3" s="493"/>
      <c r="L3" s="493"/>
      <c r="M3" s="494"/>
      <c r="N3" s="90"/>
      <c r="O3" s="567" t="s">
        <v>367</v>
      </c>
      <c r="P3" s="568"/>
      <c r="Q3" s="568"/>
      <c r="R3" s="568"/>
      <c r="S3" s="568"/>
      <c r="T3" s="569"/>
      <c r="U3" s="90"/>
      <c r="V3" s="567" t="s">
        <v>379</v>
      </c>
      <c r="W3" s="568"/>
      <c r="X3" s="568"/>
      <c r="Y3" s="568"/>
      <c r="Z3" s="568"/>
      <c r="AA3" s="569"/>
    </row>
    <row r="4" spans="1:27" x14ac:dyDescent="0.25">
      <c r="A4" s="504"/>
      <c r="B4" s="441"/>
      <c r="C4" s="441"/>
      <c r="D4" s="441"/>
      <c r="E4" s="441"/>
      <c r="F4" s="505"/>
      <c r="G4" s="368"/>
      <c r="H4" s="495"/>
      <c r="I4" s="442"/>
      <c r="J4" s="442"/>
      <c r="K4" s="442"/>
      <c r="L4" s="442"/>
      <c r="M4" s="446"/>
      <c r="N4" s="90"/>
      <c r="O4" s="483"/>
      <c r="P4" s="484"/>
      <c r="Q4" s="484"/>
      <c r="R4" s="484"/>
      <c r="S4" s="484"/>
      <c r="T4" s="485"/>
      <c r="U4" s="90"/>
      <c r="V4" s="483"/>
      <c r="W4" s="484"/>
      <c r="X4" s="484"/>
      <c r="Y4" s="484"/>
      <c r="Z4" s="484"/>
      <c r="AA4" s="485"/>
    </row>
    <row r="5" spans="1:27" ht="15" customHeight="1" x14ac:dyDescent="0.25">
      <c r="A5" s="504"/>
      <c r="B5" s="441"/>
      <c r="C5" s="441"/>
      <c r="D5" s="441"/>
      <c r="E5" s="441"/>
      <c r="F5" s="505"/>
      <c r="G5" s="368"/>
      <c r="H5" s="495"/>
      <c r="I5" s="442"/>
      <c r="J5" s="442"/>
      <c r="K5" s="442"/>
      <c r="L5" s="442"/>
      <c r="M5" s="446"/>
      <c r="N5" s="90"/>
      <c r="O5" s="483"/>
      <c r="P5" s="484"/>
      <c r="Q5" s="484"/>
      <c r="R5" s="484"/>
      <c r="S5" s="484"/>
      <c r="T5" s="485"/>
      <c r="U5" s="90"/>
      <c r="V5" s="483"/>
      <c r="W5" s="484"/>
      <c r="X5" s="484"/>
      <c r="Y5" s="484"/>
      <c r="Z5" s="484"/>
      <c r="AA5" s="485"/>
    </row>
    <row r="6" spans="1:27" x14ac:dyDescent="0.25">
      <c r="A6" s="504"/>
      <c r="B6" s="441"/>
      <c r="C6" s="441"/>
      <c r="D6" s="441"/>
      <c r="E6" s="441"/>
      <c r="F6" s="505"/>
      <c r="G6" s="368"/>
      <c r="H6" s="495"/>
      <c r="I6" s="442"/>
      <c r="J6" s="442"/>
      <c r="K6" s="442"/>
      <c r="L6" s="442"/>
      <c r="M6" s="446"/>
      <c r="N6" s="16"/>
      <c r="O6" s="369"/>
      <c r="P6" s="90"/>
      <c r="Q6" s="90"/>
      <c r="R6" s="90"/>
      <c r="S6" s="90"/>
      <c r="T6" s="370"/>
      <c r="U6" s="90"/>
      <c r="V6" s="39"/>
      <c r="AA6" s="40"/>
    </row>
    <row r="7" spans="1:27" x14ac:dyDescent="0.25">
      <c r="A7" s="504"/>
      <c r="B7" s="441"/>
      <c r="C7" s="441"/>
      <c r="D7" s="441"/>
      <c r="E7" s="441"/>
      <c r="F7" s="505"/>
      <c r="G7" s="368"/>
      <c r="H7" s="495"/>
      <c r="I7" s="442"/>
      <c r="J7" s="442"/>
      <c r="K7" s="442"/>
      <c r="L7" s="442"/>
      <c r="M7" s="446"/>
      <c r="N7" s="89"/>
      <c r="O7" s="369"/>
      <c r="P7" s="90"/>
      <c r="Q7" s="90"/>
      <c r="R7" s="90"/>
      <c r="S7" s="90"/>
      <c r="T7" s="370"/>
      <c r="U7" s="90"/>
      <c r="V7" s="39"/>
      <c r="AA7" s="40"/>
    </row>
    <row r="8" spans="1:27" x14ac:dyDescent="0.25">
      <c r="A8" s="504"/>
      <c r="B8" s="441"/>
      <c r="C8" s="441"/>
      <c r="D8" s="441"/>
      <c r="E8" s="441"/>
      <c r="F8" s="505"/>
      <c r="G8" s="368"/>
      <c r="H8" s="495"/>
      <c r="I8" s="442"/>
      <c r="J8" s="442"/>
      <c r="K8" s="442"/>
      <c r="L8" s="442"/>
      <c r="M8" s="446"/>
      <c r="N8" s="89"/>
      <c r="O8" s="369"/>
      <c r="P8" s="90"/>
      <c r="Q8" s="90"/>
      <c r="R8" s="90"/>
      <c r="S8" s="90"/>
      <c r="T8" s="370"/>
      <c r="U8" s="90"/>
      <c r="V8" s="39"/>
      <c r="AA8" s="40"/>
    </row>
    <row r="9" spans="1:27" x14ac:dyDescent="0.25">
      <c r="A9" s="504"/>
      <c r="B9" s="441"/>
      <c r="C9" s="441"/>
      <c r="D9" s="441"/>
      <c r="E9" s="441"/>
      <c r="F9" s="505"/>
      <c r="G9" s="368"/>
      <c r="H9" s="495"/>
      <c r="I9" s="442"/>
      <c r="J9" s="442"/>
      <c r="K9" s="442"/>
      <c r="L9" s="442"/>
      <c r="M9" s="446"/>
      <c r="N9" s="89"/>
      <c r="O9" s="369"/>
      <c r="P9" s="90"/>
      <c r="Q9" s="90"/>
      <c r="R9" s="90"/>
      <c r="S9" s="90"/>
      <c r="T9" s="370"/>
      <c r="U9" s="90"/>
      <c r="V9" s="39"/>
      <c r="AA9" s="40"/>
    </row>
    <row r="10" spans="1:27" x14ac:dyDescent="0.25">
      <c r="A10" s="504"/>
      <c r="B10" s="441"/>
      <c r="C10" s="441"/>
      <c r="D10" s="441"/>
      <c r="E10" s="441"/>
      <c r="F10" s="505"/>
      <c r="G10" s="368"/>
      <c r="H10" s="495"/>
      <c r="I10" s="442"/>
      <c r="J10" s="442"/>
      <c r="K10" s="442"/>
      <c r="L10" s="442"/>
      <c r="M10" s="446"/>
      <c r="N10" s="90"/>
      <c r="O10" s="594"/>
      <c r="P10" s="595"/>
      <c r="Q10" s="595"/>
      <c r="R10" s="595"/>
      <c r="S10" s="595"/>
      <c r="T10" s="596"/>
      <c r="U10" s="371"/>
      <c r="V10" s="39"/>
      <c r="AA10" s="40"/>
    </row>
    <row r="11" spans="1:27" x14ac:dyDescent="0.25">
      <c r="A11" s="504"/>
      <c r="B11" s="441"/>
      <c r="C11" s="441"/>
      <c r="D11" s="441"/>
      <c r="E11" s="441"/>
      <c r="F11" s="505"/>
      <c r="G11" s="368"/>
      <c r="H11" s="495"/>
      <c r="I11" s="442"/>
      <c r="J11" s="442"/>
      <c r="K11" s="442"/>
      <c r="L11" s="442"/>
      <c r="M11" s="446"/>
      <c r="N11" s="90"/>
      <c r="O11" s="504" t="s">
        <v>368</v>
      </c>
      <c r="P11" s="441"/>
      <c r="Q11" s="441"/>
      <c r="R11" s="441"/>
      <c r="S11" s="441"/>
      <c r="T11" s="505"/>
      <c r="U11" s="89"/>
      <c r="V11" s="39"/>
      <c r="AA11" s="40"/>
    </row>
    <row r="12" spans="1:27" x14ac:dyDescent="0.25">
      <c r="A12" s="504"/>
      <c r="B12" s="441"/>
      <c r="C12" s="441"/>
      <c r="D12" s="441"/>
      <c r="E12" s="441"/>
      <c r="F12" s="505"/>
      <c r="G12" s="368"/>
      <c r="H12" s="532"/>
      <c r="I12" s="533"/>
      <c r="J12" s="533"/>
      <c r="K12" s="533"/>
      <c r="L12" s="533"/>
      <c r="M12" s="534"/>
      <c r="O12" s="504"/>
      <c r="P12" s="441"/>
      <c r="Q12" s="441"/>
      <c r="R12" s="441"/>
      <c r="S12" s="441"/>
      <c r="T12" s="505"/>
      <c r="U12" s="89"/>
      <c r="V12" s="39"/>
      <c r="AA12" s="40"/>
    </row>
    <row r="13" spans="1:27" x14ac:dyDescent="0.25">
      <c r="A13" s="504" t="s">
        <v>364</v>
      </c>
      <c r="B13" s="441"/>
      <c r="C13" s="441"/>
      <c r="D13" s="441"/>
      <c r="E13" s="441"/>
      <c r="F13" s="505"/>
      <c r="G13" s="89"/>
      <c r="H13" s="597" t="s">
        <v>353</v>
      </c>
      <c r="I13" s="598"/>
      <c r="J13" s="598"/>
      <c r="K13" s="598"/>
      <c r="L13" s="598"/>
      <c r="M13" s="599"/>
      <c r="O13" s="504"/>
      <c r="P13" s="441"/>
      <c r="Q13" s="441"/>
      <c r="R13" s="441"/>
      <c r="S13" s="441"/>
      <c r="T13" s="505"/>
      <c r="U13" s="89"/>
      <c r="V13" s="39"/>
      <c r="AA13" s="40"/>
    </row>
    <row r="14" spans="1:27" ht="15.75" thickBot="1" x14ac:dyDescent="0.3">
      <c r="A14" s="504"/>
      <c r="B14" s="441"/>
      <c r="C14" s="441"/>
      <c r="D14" s="441"/>
      <c r="E14" s="441"/>
      <c r="F14" s="505"/>
      <c r="G14" s="89"/>
      <c r="H14" s="600"/>
      <c r="I14" s="601"/>
      <c r="J14" s="601"/>
      <c r="K14" s="601"/>
      <c r="L14" s="601"/>
      <c r="M14" s="602"/>
      <c r="O14" s="504"/>
      <c r="P14" s="441"/>
      <c r="Q14" s="441"/>
      <c r="R14" s="441"/>
      <c r="S14" s="441"/>
      <c r="T14" s="505"/>
      <c r="U14" s="89"/>
      <c r="V14" s="39"/>
      <c r="AA14" s="40"/>
    </row>
    <row r="15" spans="1:27" ht="15" customHeight="1" thickTop="1" thickBot="1" x14ac:dyDescent="0.3">
      <c r="A15" s="504"/>
      <c r="B15" s="441"/>
      <c r="C15" s="441"/>
      <c r="D15" s="441"/>
      <c r="E15" s="441"/>
      <c r="F15" s="505"/>
      <c r="G15" s="89"/>
      <c r="H15" s="606" t="s">
        <v>262</v>
      </c>
      <c r="I15" s="513"/>
      <c r="J15" s="607"/>
      <c r="K15" s="609" t="s">
        <v>263</v>
      </c>
      <c r="L15" s="610"/>
      <c r="M15" s="611"/>
      <c r="O15" s="504"/>
      <c r="P15" s="441"/>
      <c r="Q15" s="441"/>
      <c r="R15" s="441"/>
      <c r="S15" s="441"/>
      <c r="T15" s="505"/>
      <c r="U15" s="89"/>
      <c r="V15" s="39"/>
      <c r="AA15" s="40"/>
    </row>
    <row r="16" spans="1:27" ht="16.5" thickTop="1" thickBot="1" x14ac:dyDescent="0.3">
      <c r="A16" s="504"/>
      <c r="B16" s="441"/>
      <c r="C16" s="441"/>
      <c r="D16" s="441"/>
      <c r="E16" s="441"/>
      <c r="F16" s="505"/>
      <c r="G16" s="89"/>
      <c r="H16" s="542"/>
      <c r="I16" s="464"/>
      <c r="J16" s="608"/>
      <c r="K16" s="210" t="s">
        <v>264</v>
      </c>
      <c r="L16" s="210" t="s">
        <v>265</v>
      </c>
      <c r="M16" s="372" t="s">
        <v>266</v>
      </c>
      <c r="O16" s="504"/>
      <c r="P16" s="441"/>
      <c r="Q16" s="441"/>
      <c r="R16" s="441"/>
      <c r="S16" s="441"/>
      <c r="T16" s="505"/>
      <c r="U16" s="89"/>
      <c r="V16" s="39"/>
      <c r="AA16" s="40"/>
    </row>
    <row r="17" spans="1:27" ht="16.5" thickTop="1" thickBot="1" x14ac:dyDescent="0.3">
      <c r="A17" s="603"/>
      <c r="B17" s="604"/>
      <c r="C17" s="604"/>
      <c r="D17" s="604"/>
      <c r="E17" s="604"/>
      <c r="F17" s="605"/>
      <c r="G17" s="89"/>
      <c r="H17" s="612" t="s">
        <v>267</v>
      </c>
      <c r="I17" s="613"/>
      <c r="J17" s="614"/>
      <c r="K17" s="268" t="s">
        <v>326</v>
      </c>
      <c r="L17" s="268" t="s">
        <v>327</v>
      </c>
      <c r="M17" s="373">
        <v>35</v>
      </c>
      <c r="O17" s="532"/>
      <c r="P17" s="533"/>
      <c r="Q17" s="533"/>
      <c r="R17" s="533"/>
      <c r="S17" s="533"/>
      <c r="T17" s="534"/>
      <c r="U17" s="375"/>
      <c r="V17" s="39"/>
      <c r="AA17" s="40"/>
    </row>
    <row r="18" spans="1:27" ht="15.75" thickBot="1" x14ac:dyDescent="0.3">
      <c r="A18" s="39"/>
      <c r="H18" s="545" t="s">
        <v>268</v>
      </c>
      <c r="I18" s="546"/>
      <c r="J18" s="547"/>
      <c r="K18" s="45">
        <v>10</v>
      </c>
      <c r="L18" s="45">
        <v>30</v>
      </c>
      <c r="M18" s="374">
        <f t="shared" ref="M18:M26" si="0">AVERAGE(K18:L18)</f>
        <v>20</v>
      </c>
      <c r="N18" s="90"/>
      <c r="O18" s="570" t="s">
        <v>330</v>
      </c>
      <c r="P18" s="571"/>
      <c r="Q18" s="571"/>
      <c r="R18" s="571"/>
      <c r="S18" s="571"/>
      <c r="T18" s="572"/>
      <c r="U18" s="376"/>
      <c r="V18" s="39" t="s">
        <v>380</v>
      </c>
      <c r="AA18" s="40"/>
    </row>
    <row r="19" spans="1:27" ht="16.5" thickTop="1" thickBot="1" x14ac:dyDescent="0.3">
      <c r="A19" s="39"/>
      <c r="H19" s="545" t="s">
        <v>269</v>
      </c>
      <c r="I19" s="546"/>
      <c r="J19" s="547"/>
      <c r="K19" s="45">
        <v>10</v>
      </c>
      <c r="L19" s="45">
        <v>20</v>
      </c>
      <c r="M19" s="374">
        <f t="shared" si="0"/>
        <v>15</v>
      </c>
      <c r="N19" s="90"/>
      <c r="O19" s="573" t="s">
        <v>220</v>
      </c>
      <c r="P19" s="574"/>
      <c r="Q19" s="574"/>
      <c r="R19" s="575" t="s">
        <v>331</v>
      </c>
      <c r="S19" s="575"/>
      <c r="T19" s="377" t="s">
        <v>266</v>
      </c>
      <c r="V19" s="39"/>
      <c r="AA19" s="40"/>
    </row>
    <row r="20" spans="1:27" ht="15.75" thickTop="1" x14ac:dyDescent="0.25">
      <c r="A20" s="39"/>
      <c r="H20" s="545" t="s">
        <v>270</v>
      </c>
      <c r="I20" s="546"/>
      <c r="J20" s="547"/>
      <c r="K20" s="45" t="s">
        <v>328</v>
      </c>
      <c r="L20" s="45" t="s">
        <v>329</v>
      </c>
      <c r="M20" s="374">
        <v>35</v>
      </c>
      <c r="N20" s="17"/>
      <c r="O20" s="562" t="s">
        <v>246</v>
      </c>
      <c r="P20" s="563"/>
      <c r="Q20" s="563"/>
      <c r="R20" s="563">
        <v>1</v>
      </c>
      <c r="S20" s="563"/>
      <c r="T20" s="378">
        <v>1</v>
      </c>
      <c r="V20" s="504" t="s">
        <v>332</v>
      </c>
      <c r="W20" s="441"/>
      <c r="X20" s="441"/>
      <c r="Y20" s="441"/>
      <c r="Z20" s="441"/>
      <c r="AA20" s="505"/>
    </row>
    <row r="21" spans="1:27" x14ac:dyDescent="0.25">
      <c r="A21" s="39"/>
      <c r="H21" s="545" t="s">
        <v>271</v>
      </c>
      <c r="I21" s="546"/>
      <c r="J21" s="547"/>
      <c r="K21" s="45">
        <v>10</v>
      </c>
      <c r="L21" s="45">
        <v>30</v>
      </c>
      <c r="M21" s="374">
        <f t="shared" si="0"/>
        <v>20</v>
      </c>
      <c r="O21" s="524" t="s">
        <v>333</v>
      </c>
      <c r="P21" s="525"/>
      <c r="Q21" s="525"/>
      <c r="R21" s="525" t="s">
        <v>334</v>
      </c>
      <c r="S21" s="525"/>
      <c r="T21" s="379">
        <v>0.75</v>
      </c>
      <c r="V21" s="504"/>
      <c r="W21" s="441"/>
      <c r="X21" s="441"/>
      <c r="Y21" s="441"/>
      <c r="Z21" s="441"/>
      <c r="AA21" s="505"/>
    </row>
    <row r="22" spans="1:27" x14ac:dyDescent="0.25">
      <c r="A22" s="39"/>
      <c r="H22" s="545" t="s">
        <v>272</v>
      </c>
      <c r="I22" s="546"/>
      <c r="J22" s="547"/>
      <c r="K22" s="45">
        <v>10</v>
      </c>
      <c r="L22" s="45">
        <v>20</v>
      </c>
      <c r="M22" s="374">
        <f t="shared" si="0"/>
        <v>15</v>
      </c>
      <c r="O22" s="524" t="s">
        <v>195</v>
      </c>
      <c r="P22" s="525"/>
      <c r="Q22" s="525"/>
      <c r="R22" s="525" t="s">
        <v>335</v>
      </c>
      <c r="S22" s="525"/>
      <c r="T22" s="379">
        <v>0.01</v>
      </c>
      <c r="V22" s="504"/>
      <c r="W22" s="441"/>
      <c r="X22" s="441"/>
      <c r="Y22" s="441"/>
      <c r="Z22" s="441"/>
      <c r="AA22" s="505"/>
    </row>
    <row r="23" spans="1:27" ht="15.75" thickBot="1" x14ac:dyDescent="0.3">
      <c r="A23" s="39"/>
      <c r="H23" s="545" t="s">
        <v>273</v>
      </c>
      <c r="I23" s="546"/>
      <c r="J23" s="547"/>
      <c r="K23" s="45">
        <v>10</v>
      </c>
      <c r="L23" s="45">
        <v>20</v>
      </c>
      <c r="M23" s="374">
        <f t="shared" si="0"/>
        <v>15</v>
      </c>
      <c r="O23" s="496" t="s">
        <v>289</v>
      </c>
      <c r="P23" s="497"/>
      <c r="Q23" s="497"/>
      <c r="R23" s="497" t="s">
        <v>336</v>
      </c>
      <c r="S23" s="497"/>
      <c r="T23" s="380">
        <v>0.45</v>
      </c>
      <c r="U23" s="381"/>
      <c r="V23" s="504"/>
      <c r="W23" s="441"/>
      <c r="X23" s="441"/>
      <c r="Y23" s="441"/>
      <c r="Z23" s="441"/>
      <c r="AA23" s="505"/>
    </row>
    <row r="24" spans="1:27" ht="15.75" thickTop="1" x14ac:dyDescent="0.25">
      <c r="A24" s="39"/>
      <c r="H24" s="545" t="s">
        <v>274</v>
      </c>
      <c r="I24" s="546"/>
      <c r="J24" s="547"/>
      <c r="K24" s="45">
        <v>20</v>
      </c>
      <c r="L24" s="45">
        <v>30</v>
      </c>
      <c r="M24" s="374">
        <f t="shared" si="0"/>
        <v>25</v>
      </c>
      <c r="O24" s="576" t="s">
        <v>369</v>
      </c>
      <c r="P24" s="577"/>
      <c r="Q24" s="577"/>
      <c r="R24" s="577"/>
      <c r="S24" s="577"/>
      <c r="T24" s="578"/>
      <c r="U24" s="381"/>
      <c r="V24" s="39"/>
      <c r="AA24" s="40"/>
    </row>
    <row r="25" spans="1:27" x14ac:dyDescent="0.25">
      <c r="A25" s="39"/>
      <c r="H25" s="545" t="s">
        <v>275</v>
      </c>
      <c r="I25" s="546"/>
      <c r="J25" s="547"/>
      <c r="K25" s="45">
        <v>10</v>
      </c>
      <c r="L25" s="45">
        <v>20</v>
      </c>
      <c r="M25" s="374">
        <f t="shared" si="0"/>
        <v>15</v>
      </c>
      <c r="O25" s="576"/>
      <c r="P25" s="577"/>
      <c r="Q25" s="577"/>
      <c r="R25" s="577"/>
      <c r="S25" s="577"/>
      <c r="T25" s="578"/>
      <c r="U25" s="381"/>
      <c r="V25" s="39"/>
      <c r="AA25" s="40"/>
    </row>
    <row r="26" spans="1:27" ht="15.75" thickBot="1" x14ac:dyDescent="0.3">
      <c r="A26" s="39"/>
      <c r="H26" s="556" t="s">
        <v>276</v>
      </c>
      <c r="I26" s="557"/>
      <c r="J26" s="558"/>
      <c r="K26" s="46">
        <v>20</v>
      </c>
      <c r="L26" s="46">
        <v>30</v>
      </c>
      <c r="M26" s="382">
        <f t="shared" si="0"/>
        <v>25</v>
      </c>
      <c r="O26" s="576"/>
      <c r="P26" s="577"/>
      <c r="Q26" s="577"/>
      <c r="R26" s="577"/>
      <c r="S26" s="577"/>
      <c r="T26" s="578"/>
      <c r="U26" s="381"/>
      <c r="V26" s="39"/>
      <c r="AA26" s="40"/>
    </row>
    <row r="27" spans="1:27" ht="15.75" thickTop="1" x14ac:dyDescent="0.25">
      <c r="A27" s="39"/>
      <c r="H27" s="559" t="s">
        <v>337</v>
      </c>
      <c r="I27" s="560"/>
      <c r="J27" s="560"/>
      <c r="K27" s="560"/>
      <c r="L27" s="560"/>
      <c r="M27" s="561"/>
      <c r="N27" s="383"/>
      <c r="O27" s="576"/>
      <c r="P27" s="577"/>
      <c r="Q27" s="577"/>
      <c r="R27" s="577"/>
      <c r="S27" s="577"/>
      <c r="T27" s="578"/>
      <c r="U27" s="371"/>
      <c r="V27" s="39"/>
      <c r="AA27" s="40"/>
    </row>
    <row r="28" spans="1:27" ht="15.75" customHeight="1" x14ac:dyDescent="0.25">
      <c r="A28" s="39"/>
      <c r="H28" s="501"/>
      <c r="I28" s="502"/>
      <c r="J28" s="502"/>
      <c r="K28" s="502"/>
      <c r="L28" s="502"/>
      <c r="M28" s="503"/>
      <c r="N28" s="383"/>
      <c r="O28" s="576"/>
      <c r="P28" s="577"/>
      <c r="Q28" s="577"/>
      <c r="R28" s="577"/>
      <c r="S28" s="577"/>
      <c r="T28" s="578"/>
      <c r="U28" s="90"/>
      <c r="V28" s="39"/>
      <c r="AA28" s="40"/>
    </row>
    <row r="29" spans="1:27" x14ac:dyDescent="0.25">
      <c r="A29" s="39"/>
      <c r="H29" s="504" t="s">
        <v>366</v>
      </c>
      <c r="I29" s="441"/>
      <c r="J29" s="441"/>
      <c r="K29" s="441"/>
      <c r="L29" s="441"/>
      <c r="M29" s="505"/>
      <c r="O29" s="576"/>
      <c r="P29" s="577"/>
      <c r="Q29" s="577"/>
      <c r="R29" s="577"/>
      <c r="S29" s="577"/>
      <c r="T29" s="578"/>
      <c r="U29" s="90"/>
      <c r="V29" s="548" t="s">
        <v>381</v>
      </c>
      <c r="W29" s="549"/>
      <c r="X29" s="549"/>
      <c r="Y29" s="549"/>
      <c r="Z29" s="549"/>
      <c r="AA29" s="550"/>
    </row>
    <row r="30" spans="1:27" ht="15.75" customHeight="1" thickBot="1" x14ac:dyDescent="0.3">
      <c r="A30" s="39"/>
      <c r="H30" s="504"/>
      <c r="I30" s="441"/>
      <c r="J30" s="441"/>
      <c r="K30" s="441"/>
      <c r="L30" s="441"/>
      <c r="M30" s="505"/>
      <c r="O30" s="495" t="s">
        <v>370</v>
      </c>
      <c r="P30" s="442"/>
      <c r="Q30" s="442"/>
      <c r="R30" s="442"/>
      <c r="S30" s="442"/>
      <c r="T30" s="446"/>
      <c r="V30" s="551"/>
      <c r="W30" s="552"/>
      <c r="X30" s="552"/>
      <c r="Y30" s="552"/>
      <c r="Z30" s="552"/>
      <c r="AA30" s="553"/>
    </row>
    <row r="31" spans="1:27" x14ac:dyDescent="0.25">
      <c r="A31" s="39"/>
      <c r="H31" s="504"/>
      <c r="I31" s="441"/>
      <c r="J31" s="441"/>
      <c r="K31" s="441"/>
      <c r="L31" s="441"/>
      <c r="M31" s="505"/>
      <c r="O31" s="495"/>
      <c r="P31" s="442"/>
      <c r="Q31" s="442"/>
      <c r="R31" s="442"/>
      <c r="S31" s="442"/>
      <c r="T31" s="446"/>
      <c r="AA31" s="40"/>
    </row>
    <row r="32" spans="1:27" x14ac:dyDescent="0.25">
      <c r="A32" s="39"/>
      <c r="H32" s="532"/>
      <c r="I32" s="533"/>
      <c r="J32" s="533"/>
      <c r="K32" s="533"/>
      <c r="L32" s="533"/>
      <c r="M32" s="534"/>
      <c r="O32" s="495"/>
      <c r="P32" s="442"/>
      <c r="Q32" s="442"/>
      <c r="R32" s="442"/>
      <c r="S32" s="442"/>
      <c r="T32" s="446"/>
      <c r="AA32" s="40"/>
    </row>
    <row r="33" spans="1:27" x14ac:dyDescent="0.25">
      <c r="A33" s="39"/>
      <c r="H33" s="529" t="s">
        <v>277</v>
      </c>
      <c r="I33" s="530"/>
      <c r="J33" s="530"/>
      <c r="K33" s="530"/>
      <c r="L33" s="530"/>
      <c r="M33" s="531"/>
      <c r="O33" s="39"/>
      <c r="T33" s="40"/>
      <c r="AA33" s="40"/>
    </row>
    <row r="34" spans="1:27" ht="15.75" thickBot="1" x14ac:dyDescent="0.3">
      <c r="A34" s="39"/>
      <c r="H34" s="529"/>
      <c r="I34" s="530"/>
      <c r="J34" s="530"/>
      <c r="K34" s="530"/>
      <c r="L34" s="530"/>
      <c r="M34" s="531"/>
      <c r="O34" s="39"/>
      <c r="T34" s="40"/>
      <c r="AA34" s="40"/>
    </row>
    <row r="35" spans="1:27" ht="15.75" thickTop="1" x14ac:dyDescent="0.25">
      <c r="A35" s="39"/>
      <c r="H35" s="554" t="s">
        <v>278</v>
      </c>
      <c r="I35" s="555"/>
      <c r="J35" s="555" t="s">
        <v>279</v>
      </c>
      <c r="K35" s="555"/>
      <c r="L35" s="555"/>
      <c r="M35" s="384" t="s">
        <v>266</v>
      </c>
      <c r="O35" s="39"/>
      <c r="T35" s="40"/>
      <c r="U35" s="89"/>
      <c r="AA35" s="40"/>
    </row>
    <row r="36" spans="1:27" x14ac:dyDescent="0.25">
      <c r="A36" s="39"/>
      <c r="H36" s="538" t="s">
        <v>280</v>
      </c>
      <c r="I36" s="539"/>
      <c r="J36" s="539" t="s">
        <v>281</v>
      </c>
      <c r="K36" s="539"/>
      <c r="L36" s="539"/>
      <c r="M36" s="374" t="s">
        <v>282</v>
      </c>
      <c r="O36" s="501"/>
      <c r="P36" s="502"/>
      <c r="Q36" s="502"/>
      <c r="R36" s="502"/>
      <c r="S36" s="502"/>
      <c r="T36" s="503"/>
      <c r="U36" s="89"/>
      <c r="AA36" s="40"/>
    </row>
    <row r="37" spans="1:27" x14ac:dyDescent="0.25">
      <c r="A37" s="39"/>
      <c r="H37" s="538" t="s">
        <v>283</v>
      </c>
      <c r="I37" s="539"/>
      <c r="J37" s="539" t="s">
        <v>284</v>
      </c>
      <c r="K37" s="539"/>
      <c r="L37" s="539"/>
      <c r="M37" s="374">
        <v>240</v>
      </c>
      <c r="O37" s="504" t="s">
        <v>371</v>
      </c>
      <c r="P37" s="441"/>
      <c r="Q37" s="441"/>
      <c r="R37" s="441"/>
      <c r="S37" s="441"/>
      <c r="T37" s="505"/>
      <c r="U37" s="89"/>
      <c r="AA37" s="40"/>
    </row>
    <row r="38" spans="1:27" x14ac:dyDescent="0.25">
      <c r="A38" s="39"/>
      <c r="H38" s="538" t="s">
        <v>285</v>
      </c>
      <c r="I38" s="539"/>
      <c r="J38" s="539" t="s">
        <v>286</v>
      </c>
      <c r="K38" s="539"/>
      <c r="L38" s="539"/>
      <c r="M38" s="374">
        <v>60</v>
      </c>
      <c r="O38" s="504"/>
      <c r="P38" s="441"/>
      <c r="Q38" s="441"/>
      <c r="R38" s="441"/>
      <c r="S38" s="441"/>
      <c r="T38" s="505"/>
      <c r="U38" s="89"/>
      <c r="AA38" s="40"/>
    </row>
    <row r="39" spans="1:27" x14ac:dyDescent="0.25">
      <c r="A39" s="39"/>
      <c r="H39" s="538" t="s">
        <v>0</v>
      </c>
      <c r="I39" s="539"/>
      <c r="J39" s="539" t="s">
        <v>287</v>
      </c>
      <c r="K39" s="539"/>
      <c r="L39" s="539"/>
      <c r="M39" s="374">
        <v>45</v>
      </c>
      <c r="O39" s="504"/>
      <c r="P39" s="441"/>
      <c r="Q39" s="441"/>
      <c r="R39" s="441"/>
      <c r="S39" s="441"/>
      <c r="T39" s="505"/>
      <c r="U39" s="89"/>
      <c r="AA39" s="40"/>
    </row>
    <row r="40" spans="1:27" ht="15.75" thickBot="1" x14ac:dyDescent="0.3">
      <c r="A40" s="39"/>
      <c r="H40" s="540" t="s">
        <v>46</v>
      </c>
      <c r="I40" s="541"/>
      <c r="J40" s="541" t="s">
        <v>288</v>
      </c>
      <c r="K40" s="541"/>
      <c r="L40" s="541"/>
      <c r="M40" s="382">
        <v>10</v>
      </c>
      <c r="O40" s="504"/>
      <c r="P40" s="441"/>
      <c r="Q40" s="441"/>
      <c r="R40" s="441"/>
      <c r="S40" s="441"/>
      <c r="T40" s="505"/>
      <c r="U40" s="89"/>
      <c r="AA40" s="40"/>
    </row>
    <row r="41" spans="1:27" ht="15.75" customHeight="1" thickTop="1" x14ac:dyDescent="0.25">
      <c r="A41" s="39"/>
      <c r="H41" s="385"/>
      <c r="I41" s="89"/>
      <c r="J41" s="89"/>
      <c r="K41" s="89"/>
      <c r="L41" s="89"/>
      <c r="M41" s="386"/>
      <c r="O41" s="504"/>
      <c r="P41" s="441"/>
      <c r="Q41" s="441"/>
      <c r="R41" s="441"/>
      <c r="S41" s="441"/>
      <c r="T41" s="505"/>
      <c r="AA41" s="40"/>
    </row>
    <row r="42" spans="1:27" x14ac:dyDescent="0.25">
      <c r="A42" s="39"/>
      <c r="H42" s="504" t="s">
        <v>338</v>
      </c>
      <c r="I42" s="441"/>
      <c r="J42" s="441"/>
      <c r="K42" s="441"/>
      <c r="L42" s="441"/>
      <c r="M42" s="505"/>
      <c r="O42" s="504"/>
      <c r="P42" s="441"/>
      <c r="Q42" s="441"/>
      <c r="R42" s="441"/>
      <c r="S42" s="441"/>
      <c r="T42" s="505"/>
      <c r="AA42" s="40"/>
    </row>
    <row r="43" spans="1:27" ht="15.75" thickBot="1" x14ac:dyDescent="0.3">
      <c r="A43" s="39"/>
      <c r="H43" s="504"/>
      <c r="I43" s="441"/>
      <c r="J43" s="441"/>
      <c r="K43" s="441"/>
      <c r="L43" s="441"/>
      <c r="M43" s="505"/>
      <c r="O43" s="542" t="s">
        <v>339</v>
      </c>
      <c r="P43" s="464"/>
      <c r="Q43" s="464"/>
      <c r="R43" s="464"/>
      <c r="S43" s="464"/>
      <c r="T43" s="518"/>
      <c r="AA43" s="40"/>
    </row>
    <row r="44" spans="1:27" ht="16.5" thickTop="1" thickBot="1" x14ac:dyDescent="0.3">
      <c r="A44" s="39"/>
      <c r="H44" s="504"/>
      <c r="I44" s="441"/>
      <c r="J44" s="441"/>
      <c r="K44" s="441"/>
      <c r="L44" s="441"/>
      <c r="M44" s="505"/>
      <c r="O44" s="387" t="s">
        <v>296</v>
      </c>
      <c r="P44" s="543" t="s">
        <v>340</v>
      </c>
      <c r="Q44" s="543"/>
      <c r="R44" s="543"/>
      <c r="S44" s="543"/>
      <c r="T44" s="544"/>
      <c r="AA44" s="40"/>
    </row>
    <row r="45" spans="1:27" ht="15.75" thickTop="1" x14ac:dyDescent="0.25">
      <c r="A45" s="39"/>
      <c r="H45" s="39"/>
      <c r="M45" s="40"/>
      <c r="O45" s="388">
        <v>1</v>
      </c>
      <c r="P45" s="521" t="s">
        <v>290</v>
      </c>
      <c r="Q45" s="522"/>
      <c r="R45" s="522"/>
      <c r="S45" s="522"/>
      <c r="T45" s="523"/>
      <c r="AA45" s="40"/>
    </row>
    <row r="46" spans="1:27" x14ac:dyDescent="0.25">
      <c r="A46" s="39"/>
      <c r="H46" s="39"/>
      <c r="M46" s="40"/>
      <c r="O46" s="389">
        <v>2</v>
      </c>
      <c r="P46" s="526" t="s">
        <v>341</v>
      </c>
      <c r="Q46" s="527"/>
      <c r="R46" s="527"/>
      <c r="S46" s="527"/>
      <c r="T46" s="528"/>
      <c r="AA46" s="40"/>
    </row>
    <row r="47" spans="1:27" x14ac:dyDescent="0.25">
      <c r="A47" s="39"/>
      <c r="H47" s="39"/>
      <c r="M47" s="40"/>
      <c r="O47" s="389">
        <v>3</v>
      </c>
      <c r="P47" s="526" t="s">
        <v>291</v>
      </c>
      <c r="Q47" s="527"/>
      <c r="R47" s="527"/>
      <c r="S47" s="527"/>
      <c r="T47" s="528"/>
      <c r="AA47" s="40"/>
    </row>
    <row r="48" spans="1:27" x14ac:dyDescent="0.25">
      <c r="A48" s="39"/>
      <c r="H48" s="39"/>
      <c r="M48" s="40"/>
      <c r="O48" s="389">
        <v>4</v>
      </c>
      <c r="P48" s="526" t="s">
        <v>292</v>
      </c>
      <c r="Q48" s="527"/>
      <c r="R48" s="527"/>
      <c r="S48" s="527"/>
      <c r="T48" s="528"/>
      <c r="U48" s="16"/>
      <c r="AA48" s="40"/>
    </row>
    <row r="49" spans="1:27" ht="15.75" thickBot="1" x14ac:dyDescent="0.3">
      <c r="A49" s="39"/>
      <c r="H49" s="39"/>
      <c r="M49" s="40"/>
      <c r="O49" s="390">
        <v>5</v>
      </c>
      <c r="P49" s="498" t="s">
        <v>302</v>
      </c>
      <c r="Q49" s="499"/>
      <c r="R49" s="499"/>
      <c r="S49" s="499"/>
      <c r="T49" s="500"/>
      <c r="U49" s="89"/>
      <c r="AA49" s="40"/>
    </row>
    <row r="50" spans="1:27" ht="15.75" customHeight="1" thickTop="1" x14ac:dyDescent="0.25">
      <c r="A50" s="39"/>
      <c r="H50" s="39"/>
      <c r="M50" s="40"/>
      <c r="O50" s="501"/>
      <c r="P50" s="502"/>
      <c r="Q50" s="502"/>
      <c r="R50" s="502"/>
      <c r="S50" s="502"/>
      <c r="T50" s="503"/>
      <c r="U50" s="89"/>
      <c r="AA50" s="40"/>
    </row>
    <row r="51" spans="1:27" ht="15.75" customHeight="1" x14ac:dyDescent="0.25">
      <c r="A51" s="39"/>
      <c r="H51" s="39"/>
      <c r="M51" s="40"/>
      <c r="O51" s="504" t="s">
        <v>372</v>
      </c>
      <c r="P51" s="441"/>
      <c r="Q51" s="441"/>
      <c r="R51" s="441"/>
      <c r="S51" s="441"/>
      <c r="T51" s="505"/>
      <c r="U51" s="89"/>
      <c r="AA51" s="40"/>
    </row>
    <row r="52" spans="1:27" ht="15.75" customHeight="1" x14ac:dyDescent="0.25">
      <c r="A52" s="39"/>
      <c r="H52" s="504" t="s">
        <v>342</v>
      </c>
      <c r="I52" s="441"/>
      <c r="J52" s="441"/>
      <c r="K52" s="441"/>
      <c r="L52" s="441"/>
      <c r="M52" s="505"/>
      <c r="O52" s="504"/>
      <c r="P52" s="441"/>
      <c r="Q52" s="441"/>
      <c r="R52" s="441"/>
      <c r="S52" s="441"/>
      <c r="T52" s="505"/>
      <c r="U52" s="391"/>
      <c r="AA52" s="40"/>
    </row>
    <row r="53" spans="1:27" x14ac:dyDescent="0.25">
      <c r="A53" s="39"/>
      <c r="H53" s="504"/>
      <c r="I53" s="441"/>
      <c r="J53" s="441"/>
      <c r="K53" s="441"/>
      <c r="L53" s="441"/>
      <c r="M53" s="505"/>
      <c r="O53" s="504"/>
      <c r="P53" s="441"/>
      <c r="Q53" s="441"/>
      <c r="R53" s="441"/>
      <c r="S53" s="441"/>
      <c r="T53" s="505"/>
      <c r="U53" s="89"/>
      <c r="AA53" s="40"/>
    </row>
    <row r="54" spans="1:27" x14ac:dyDescent="0.25">
      <c r="A54" s="39"/>
      <c r="H54" s="504"/>
      <c r="I54" s="441"/>
      <c r="J54" s="441"/>
      <c r="K54" s="441"/>
      <c r="L54" s="441"/>
      <c r="M54" s="505"/>
      <c r="O54" s="532"/>
      <c r="P54" s="533"/>
      <c r="Q54" s="533"/>
      <c r="R54" s="533"/>
      <c r="S54" s="533"/>
      <c r="T54" s="534"/>
      <c r="U54" s="89"/>
      <c r="AA54" s="40"/>
    </row>
    <row r="55" spans="1:27" ht="15" customHeight="1" x14ac:dyDescent="0.25">
      <c r="A55" s="39"/>
      <c r="H55" s="39"/>
      <c r="M55" s="392"/>
      <c r="O55" s="495" t="s">
        <v>373</v>
      </c>
      <c r="P55" s="442"/>
      <c r="Q55" s="442"/>
      <c r="R55" s="442"/>
      <c r="S55" s="442"/>
      <c r="T55" s="446"/>
      <c r="U55" s="89"/>
      <c r="AA55" s="40"/>
    </row>
    <row r="56" spans="1:27" x14ac:dyDescent="0.25">
      <c r="A56" s="39"/>
      <c r="H56" s="39"/>
      <c r="M56" s="40"/>
      <c r="O56" s="495"/>
      <c r="P56" s="442"/>
      <c r="Q56" s="442"/>
      <c r="R56" s="442"/>
      <c r="S56" s="442"/>
      <c r="T56" s="446"/>
      <c r="AA56" s="40"/>
    </row>
    <row r="57" spans="1:27" x14ac:dyDescent="0.25">
      <c r="A57" s="39"/>
      <c r="H57" s="39"/>
      <c r="M57" s="40"/>
      <c r="O57" s="495"/>
      <c r="P57" s="442"/>
      <c r="Q57" s="442"/>
      <c r="R57" s="442"/>
      <c r="S57" s="442"/>
      <c r="T57" s="446"/>
      <c r="U57" s="16"/>
      <c r="AA57" s="40"/>
    </row>
    <row r="58" spans="1:27" ht="15" customHeight="1" x14ac:dyDescent="0.25">
      <c r="A58" s="39"/>
      <c r="H58" s="39"/>
      <c r="M58" s="40"/>
      <c r="O58" s="495"/>
      <c r="P58" s="442"/>
      <c r="Q58" s="442"/>
      <c r="R58" s="442"/>
      <c r="S58" s="442"/>
      <c r="T58" s="446"/>
      <c r="AA58" s="40"/>
    </row>
    <row r="59" spans="1:27" x14ac:dyDescent="0.25">
      <c r="A59" s="39"/>
      <c r="H59" s="39"/>
      <c r="M59" s="40"/>
      <c r="O59" s="501"/>
      <c r="P59" s="502"/>
      <c r="Q59" s="502"/>
      <c r="R59" s="502"/>
      <c r="S59" s="502"/>
      <c r="T59" s="503"/>
      <c r="AA59" s="40"/>
    </row>
    <row r="60" spans="1:27" ht="15" customHeight="1" x14ac:dyDescent="0.25">
      <c r="A60" s="39"/>
      <c r="H60" s="39"/>
      <c r="M60" s="40"/>
      <c r="O60" s="504" t="s">
        <v>374</v>
      </c>
      <c r="P60" s="441"/>
      <c r="Q60" s="441"/>
      <c r="R60" s="441"/>
      <c r="S60" s="441"/>
      <c r="T60" s="505"/>
      <c r="AA60" s="40"/>
    </row>
    <row r="61" spans="1:27" x14ac:dyDescent="0.25">
      <c r="A61" s="39"/>
      <c r="H61" s="39"/>
      <c r="M61" s="40"/>
      <c r="O61" s="504"/>
      <c r="P61" s="441"/>
      <c r="Q61" s="441"/>
      <c r="R61" s="441"/>
      <c r="S61" s="441"/>
      <c r="T61" s="505"/>
      <c r="AA61" s="40"/>
    </row>
    <row r="62" spans="1:27" x14ac:dyDescent="0.25">
      <c r="A62" s="39"/>
      <c r="H62" s="504" t="s">
        <v>343</v>
      </c>
      <c r="I62" s="441"/>
      <c r="J62" s="441"/>
      <c r="K62" s="441"/>
      <c r="L62" s="441"/>
      <c r="M62" s="505"/>
      <c r="O62" s="501"/>
      <c r="P62" s="502"/>
      <c r="Q62" s="502"/>
      <c r="R62" s="502"/>
      <c r="S62" s="502"/>
      <c r="T62" s="503"/>
      <c r="AA62" s="40"/>
    </row>
    <row r="63" spans="1:27" x14ac:dyDescent="0.25">
      <c r="A63" s="39"/>
      <c r="H63" s="504"/>
      <c r="I63" s="441"/>
      <c r="J63" s="441"/>
      <c r="K63" s="441"/>
      <c r="L63" s="441"/>
      <c r="M63" s="505"/>
      <c r="O63" s="529" t="s">
        <v>344</v>
      </c>
      <c r="P63" s="530"/>
      <c r="Q63" s="530"/>
      <c r="R63" s="530"/>
      <c r="S63" s="530"/>
      <c r="T63" s="531"/>
      <c r="AA63" s="40"/>
    </row>
    <row r="64" spans="1:27" ht="15.75" thickBot="1" x14ac:dyDescent="0.3">
      <c r="A64" s="39"/>
      <c r="H64" s="504"/>
      <c r="I64" s="441"/>
      <c r="J64" s="441"/>
      <c r="K64" s="441"/>
      <c r="L64" s="441"/>
      <c r="M64" s="505"/>
      <c r="O64" s="529"/>
      <c r="P64" s="530"/>
      <c r="Q64" s="530"/>
      <c r="R64" s="530"/>
      <c r="S64" s="530"/>
      <c r="T64" s="531"/>
      <c r="AA64" s="40"/>
    </row>
    <row r="65" spans="1:27" ht="15.75" thickTop="1" x14ac:dyDescent="0.25">
      <c r="A65" s="39"/>
      <c r="H65" s="39"/>
      <c r="M65" s="40"/>
      <c r="O65" s="506" t="s">
        <v>345</v>
      </c>
      <c r="P65" s="507"/>
      <c r="Q65" s="512" t="s">
        <v>225</v>
      </c>
      <c r="R65" s="513"/>
      <c r="S65" s="513"/>
      <c r="T65" s="514"/>
      <c r="AA65" s="40"/>
    </row>
    <row r="66" spans="1:27" x14ac:dyDescent="0.25">
      <c r="A66" s="39"/>
      <c r="H66" s="39"/>
      <c r="M66" s="40"/>
      <c r="O66" s="508"/>
      <c r="P66" s="509"/>
      <c r="Q66" s="515"/>
      <c r="R66" s="463"/>
      <c r="S66" s="463"/>
      <c r="T66" s="516"/>
      <c r="AA66" s="40"/>
    </row>
    <row r="67" spans="1:27" ht="15.75" thickBot="1" x14ac:dyDescent="0.3">
      <c r="A67" s="39"/>
      <c r="H67" s="39"/>
      <c r="M67" s="40"/>
      <c r="O67" s="510"/>
      <c r="P67" s="511"/>
      <c r="Q67" s="517"/>
      <c r="R67" s="464"/>
      <c r="S67" s="464"/>
      <c r="T67" s="518"/>
      <c r="AA67" s="40"/>
    </row>
    <row r="68" spans="1:27" ht="15.75" thickTop="1" x14ac:dyDescent="0.25">
      <c r="A68" s="39"/>
      <c r="H68" s="39"/>
      <c r="M68" s="40"/>
      <c r="O68" s="519">
        <v>1</v>
      </c>
      <c r="P68" s="520"/>
      <c r="Q68" s="521" t="s">
        <v>232</v>
      </c>
      <c r="R68" s="522"/>
      <c r="S68" s="522"/>
      <c r="T68" s="523"/>
      <c r="U68" s="90"/>
      <c r="AA68" s="40"/>
    </row>
    <row r="69" spans="1:27" x14ac:dyDescent="0.25">
      <c r="A69" s="39"/>
      <c r="H69" s="39"/>
      <c r="M69" s="40"/>
      <c r="O69" s="524">
        <v>2</v>
      </c>
      <c r="P69" s="525"/>
      <c r="Q69" s="526" t="s">
        <v>346</v>
      </c>
      <c r="R69" s="527"/>
      <c r="S69" s="527"/>
      <c r="T69" s="528"/>
      <c r="U69" s="90"/>
      <c r="AA69" s="40"/>
    </row>
    <row r="70" spans="1:27" ht="15.75" thickBot="1" x14ac:dyDescent="0.3">
      <c r="A70" s="39"/>
      <c r="H70" s="39"/>
      <c r="M70" s="40"/>
      <c r="O70" s="496">
        <v>3</v>
      </c>
      <c r="P70" s="497"/>
      <c r="Q70" s="498" t="s">
        <v>347</v>
      </c>
      <c r="R70" s="499"/>
      <c r="S70" s="499"/>
      <c r="T70" s="500"/>
      <c r="U70" s="90"/>
      <c r="AA70" s="40"/>
    </row>
    <row r="71" spans="1:27" ht="16.5" customHeight="1" thickTop="1" thickBot="1" x14ac:dyDescent="0.3">
      <c r="A71" s="39"/>
      <c r="H71" s="41"/>
      <c r="I71" s="42"/>
      <c r="J71" s="42"/>
      <c r="K71" s="42"/>
      <c r="L71" s="42"/>
      <c r="M71" s="43"/>
      <c r="O71" s="535" t="s">
        <v>375</v>
      </c>
      <c r="P71" s="536"/>
      <c r="Q71" s="536"/>
      <c r="R71" s="536"/>
      <c r="S71" s="536"/>
      <c r="T71" s="537"/>
      <c r="AA71" s="40"/>
    </row>
    <row r="72" spans="1:27" x14ac:dyDescent="0.25">
      <c r="A72" s="39"/>
      <c r="H72" s="174"/>
      <c r="I72" s="174"/>
      <c r="J72" s="174"/>
      <c r="K72" s="174"/>
      <c r="L72" s="174"/>
      <c r="M72" s="174"/>
      <c r="O72" s="495"/>
      <c r="P72" s="442"/>
      <c r="Q72" s="442"/>
      <c r="R72" s="442"/>
      <c r="S72" s="442"/>
      <c r="T72" s="446"/>
      <c r="AA72" s="40"/>
    </row>
    <row r="73" spans="1:27" x14ac:dyDescent="0.25">
      <c r="A73" s="39"/>
      <c r="O73" s="495"/>
      <c r="P73" s="442"/>
      <c r="Q73" s="442"/>
      <c r="R73" s="442"/>
      <c r="S73" s="442"/>
      <c r="T73" s="446"/>
      <c r="AA73" s="40"/>
    </row>
    <row r="74" spans="1:27" x14ac:dyDescent="0.25">
      <c r="A74" s="39"/>
      <c r="O74" s="495"/>
      <c r="P74" s="442"/>
      <c r="Q74" s="442"/>
      <c r="R74" s="442"/>
      <c r="S74" s="442"/>
      <c r="T74" s="446"/>
      <c r="U74" s="90"/>
      <c r="AA74" s="40"/>
    </row>
    <row r="75" spans="1:27" x14ac:dyDescent="0.25">
      <c r="A75" s="39"/>
      <c r="O75" s="393" t="s">
        <v>348</v>
      </c>
      <c r="T75" s="40"/>
      <c r="U75" s="90"/>
      <c r="AA75" s="40"/>
    </row>
    <row r="76" spans="1:27" x14ac:dyDescent="0.25">
      <c r="A76" s="39"/>
      <c r="O76" s="393" t="s">
        <v>349</v>
      </c>
      <c r="T76" s="40"/>
      <c r="U76" s="90"/>
      <c r="AA76" s="40"/>
    </row>
    <row r="77" spans="1:27" x14ac:dyDescent="0.25">
      <c r="A77" s="39"/>
      <c r="O77" s="501"/>
      <c r="P77" s="502"/>
      <c r="Q77" s="502"/>
      <c r="R77" s="502"/>
      <c r="S77" s="502"/>
      <c r="T77" s="503"/>
      <c r="AA77" s="40"/>
    </row>
    <row r="78" spans="1:27" x14ac:dyDescent="0.25">
      <c r="A78" s="39"/>
      <c r="O78" s="483" t="s">
        <v>376</v>
      </c>
      <c r="P78" s="484"/>
      <c r="Q78" s="484"/>
      <c r="R78" s="484"/>
      <c r="S78" s="484"/>
      <c r="T78" s="485"/>
      <c r="AA78" s="40"/>
    </row>
    <row r="79" spans="1:27" x14ac:dyDescent="0.25">
      <c r="A79" s="39"/>
      <c r="O79" s="483"/>
      <c r="P79" s="484"/>
      <c r="Q79" s="484"/>
      <c r="R79" s="484"/>
      <c r="S79" s="484"/>
      <c r="T79" s="485"/>
      <c r="AA79" s="40"/>
    </row>
    <row r="80" spans="1:27" x14ac:dyDescent="0.25">
      <c r="A80" s="39"/>
      <c r="O80" s="483"/>
      <c r="P80" s="484"/>
      <c r="Q80" s="484"/>
      <c r="R80" s="484"/>
      <c r="S80" s="484"/>
      <c r="T80" s="485"/>
      <c r="AA80" s="40"/>
    </row>
    <row r="81" spans="1:27" x14ac:dyDescent="0.25">
      <c r="A81" s="39"/>
      <c r="O81" s="39"/>
      <c r="T81" s="40"/>
      <c r="AA81" s="40"/>
    </row>
    <row r="82" spans="1:27" x14ac:dyDescent="0.25">
      <c r="A82" s="39"/>
      <c r="O82" s="39"/>
      <c r="T82" s="40"/>
      <c r="U82" s="89"/>
      <c r="AA82" s="40"/>
    </row>
    <row r="83" spans="1:27" x14ac:dyDescent="0.25">
      <c r="A83" s="39"/>
      <c r="O83" s="39"/>
      <c r="T83" s="40"/>
      <c r="U83" s="89"/>
      <c r="AA83" s="40"/>
    </row>
    <row r="84" spans="1:27" x14ac:dyDescent="0.25">
      <c r="A84" s="39"/>
      <c r="O84" s="39"/>
      <c r="T84" s="40"/>
      <c r="U84" s="89"/>
      <c r="AA84" s="40"/>
    </row>
    <row r="85" spans="1:27" x14ac:dyDescent="0.25">
      <c r="A85" s="39"/>
      <c r="O85" s="39"/>
      <c r="T85" s="40"/>
      <c r="U85" s="16"/>
      <c r="AA85" s="40"/>
    </row>
    <row r="86" spans="1:27" x14ac:dyDescent="0.25">
      <c r="A86" s="39"/>
      <c r="O86" s="504" t="s">
        <v>377</v>
      </c>
      <c r="P86" s="441"/>
      <c r="Q86" s="441"/>
      <c r="R86" s="441"/>
      <c r="S86" s="441"/>
      <c r="T86" s="505"/>
      <c r="U86" s="89"/>
      <c r="AA86" s="40"/>
    </row>
    <row r="87" spans="1:27" x14ac:dyDescent="0.25">
      <c r="A87" s="39"/>
      <c r="O87" s="504"/>
      <c r="P87" s="441"/>
      <c r="Q87" s="441"/>
      <c r="R87" s="441"/>
      <c r="S87" s="441"/>
      <c r="T87" s="505"/>
      <c r="U87" s="89"/>
      <c r="AA87" s="40"/>
    </row>
    <row r="88" spans="1:27" x14ac:dyDescent="0.25">
      <c r="A88" s="39"/>
      <c r="O88" s="504"/>
      <c r="P88" s="441"/>
      <c r="Q88" s="441"/>
      <c r="R88" s="441"/>
      <c r="S88" s="441"/>
      <c r="T88" s="505"/>
      <c r="U88" s="89"/>
      <c r="AA88" s="40"/>
    </row>
    <row r="89" spans="1:27" x14ac:dyDescent="0.25">
      <c r="A89" s="39"/>
      <c r="O89" s="504" t="s">
        <v>350</v>
      </c>
      <c r="P89" s="441"/>
      <c r="Q89" s="441"/>
      <c r="R89" s="441"/>
      <c r="S89" s="441"/>
      <c r="T89" s="505"/>
      <c r="AA89" s="40"/>
    </row>
    <row r="90" spans="1:27" x14ac:dyDescent="0.25">
      <c r="A90" s="39"/>
      <c r="O90" s="504"/>
      <c r="P90" s="441"/>
      <c r="Q90" s="441"/>
      <c r="R90" s="441"/>
      <c r="S90" s="441"/>
      <c r="T90" s="505"/>
      <c r="AA90" s="40"/>
    </row>
    <row r="91" spans="1:27" x14ac:dyDescent="0.25">
      <c r="A91" s="39"/>
      <c r="O91" s="504"/>
      <c r="P91" s="441"/>
      <c r="Q91" s="441"/>
      <c r="R91" s="441"/>
      <c r="S91" s="441"/>
      <c r="T91" s="505"/>
      <c r="AA91" s="40"/>
    </row>
    <row r="92" spans="1:27" x14ac:dyDescent="0.25">
      <c r="A92" s="39"/>
      <c r="O92" s="39"/>
      <c r="T92" s="40"/>
      <c r="AA92" s="40"/>
    </row>
    <row r="93" spans="1:27" x14ac:dyDescent="0.25">
      <c r="A93" s="39"/>
      <c r="O93" s="39"/>
      <c r="T93" s="40"/>
      <c r="AA93" s="40"/>
    </row>
    <row r="94" spans="1:27" x14ac:dyDescent="0.25">
      <c r="A94" s="39"/>
      <c r="O94" s="39"/>
      <c r="T94" s="40"/>
      <c r="U94" s="90"/>
      <c r="AA94" s="40"/>
    </row>
    <row r="95" spans="1:27" x14ac:dyDescent="0.25">
      <c r="A95" s="39"/>
      <c r="O95" s="39"/>
      <c r="T95" s="40"/>
      <c r="U95" s="90"/>
      <c r="AA95" s="40"/>
    </row>
    <row r="96" spans="1:27" x14ac:dyDescent="0.25">
      <c r="A96" s="39"/>
      <c r="O96" s="39"/>
      <c r="T96" s="40"/>
      <c r="AA96" s="40"/>
    </row>
    <row r="97" spans="1:27" x14ac:dyDescent="0.25">
      <c r="A97" s="39"/>
      <c r="O97" s="483" t="s">
        <v>378</v>
      </c>
      <c r="P97" s="484"/>
      <c r="Q97" s="484"/>
      <c r="R97" s="484"/>
      <c r="S97" s="484"/>
      <c r="T97" s="485"/>
      <c r="AA97" s="40"/>
    </row>
    <row r="98" spans="1:27" x14ac:dyDescent="0.25">
      <c r="A98" s="39"/>
      <c r="O98" s="483"/>
      <c r="P98" s="484"/>
      <c r="Q98" s="484"/>
      <c r="R98" s="484"/>
      <c r="S98" s="484"/>
      <c r="T98" s="485"/>
      <c r="AA98" s="40"/>
    </row>
    <row r="99" spans="1:27" x14ac:dyDescent="0.25">
      <c r="A99" s="39"/>
      <c r="O99" s="369"/>
      <c r="P99" s="90"/>
      <c r="Q99" s="90"/>
      <c r="R99" s="90"/>
      <c r="S99" s="90"/>
      <c r="T99" s="370"/>
      <c r="AA99" s="40"/>
    </row>
    <row r="100" spans="1:27" x14ac:dyDescent="0.25">
      <c r="A100" s="39"/>
      <c r="O100" s="39"/>
      <c r="T100" s="40"/>
      <c r="AA100" s="40"/>
    </row>
    <row r="101" spans="1:27" x14ac:dyDescent="0.25">
      <c r="A101" s="39"/>
      <c r="O101" s="39"/>
      <c r="T101" s="40"/>
      <c r="U101" s="394"/>
      <c r="AA101" s="40"/>
    </row>
    <row r="102" spans="1:27" x14ac:dyDescent="0.25">
      <c r="A102" s="39"/>
      <c r="O102" s="39"/>
      <c r="T102" s="40"/>
      <c r="U102" s="394"/>
      <c r="AA102" s="40"/>
    </row>
    <row r="103" spans="1:27" x14ac:dyDescent="0.25">
      <c r="N103" s="40"/>
      <c r="O103" s="39"/>
      <c r="T103" s="40"/>
      <c r="U103" s="39"/>
      <c r="AA103" s="40"/>
    </row>
    <row r="104" spans="1:27" x14ac:dyDescent="0.25">
      <c r="O104" s="39"/>
      <c r="T104" s="40"/>
      <c r="AA104" s="40"/>
    </row>
    <row r="105" spans="1:27" x14ac:dyDescent="0.25">
      <c r="O105" s="486" t="s">
        <v>351</v>
      </c>
      <c r="P105" s="487"/>
      <c r="Q105" s="487"/>
      <c r="R105" s="487"/>
      <c r="S105" s="487"/>
      <c r="T105" s="488"/>
      <c r="AA105" s="40"/>
    </row>
    <row r="106" spans="1:27" ht="15.75" thickBot="1" x14ac:dyDescent="0.3">
      <c r="A106" s="42"/>
      <c r="B106" s="42"/>
      <c r="C106" s="42"/>
      <c r="D106" s="42"/>
      <c r="E106" s="42"/>
      <c r="F106" s="42"/>
      <c r="G106" s="42"/>
      <c r="H106" s="42"/>
      <c r="I106" s="42"/>
      <c r="J106" s="42"/>
      <c r="K106" s="42"/>
      <c r="L106" s="42"/>
      <c r="M106" s="42"/>
      <c r="N106" s="42"/>
      <c r="O106" s="489"/>
      <c r="P106" s="490"/>
      <c r="Q106" s="490"/>
      <c r="R106" s="490"/>
      <c r="S106" s="490"/>
      <c r="T106" s="491"/>
      <c r="U106" s="42"/>
      <c r="V106" s="42"/>
      <c r="W106" s="42"/>
      <c r="X106" s="42"/>
      <c r="Y106" s="42"/>
      <c r="Z106" s="42"/>
      <c r="AA106" s="43"/>
    </row>
  </sheetData>
  <mergeCells count="94">
    <mergeCell ref="V3:AA5"/>
    <mergeCell ref="H12:M12"/>
    <mergeCell ref="O24:T29"/>
    <mergeCell ref="A1:AA1"/>
    <mergeCell ref="A2:F2"/>
    <mergeCell ref="H2:M2"/>
    <mergeCell ref="O2:T2"/>
    <mergeCell ref="V2:AA2"/>
    <mergeCell ref="O10:T10"/>
    <mergeCell ref="H13:M14"/>
    <mergeCell ref="O11:T16"/>
    <mergeCell ref="A13:F17"/>
    <mergeCell ref="H15:J16"/>
    <mergeCell ref="K15:M15"/>
    <mergeCell ref="H17:J17"/>
    <mergeCell ref="O17:T17"/>
    <mergeCell ref="H18:J18"/>
    <mergeCell ref="H19:J19"/>
    <mergeCell ref="A3:F12"/>
    <mergeCell ref="O3:T5"/>
    <mergeCell ref="O18:T18"/>
    <mergeCell ref="O19:Q19"/>
    <mergeCell ref="R19:S19"/>
    <mergeCell ref="V20:AA23"/>
    <mergeCell ref="H23:J23"/>
    <mergeCell ref="O21:Q21"/>
    <mergeCell ref="R21:S21"/>
    <mergeCell ref="H24:J24"/>
    <mergeCell ref="O22:Q22"/>
    <mergeCell ref="R22:S22"/>
    <mergeCell ref="O23:Q23"/>
    <mergeCell ref="R23:S23"/>
    <mergeCell ref="H20:J20"/>
    <mergeCell ref="H22:J22"/>
    <mergeCell ref="O20:Q20"/>
    <mergeCell ref="R20:S20"/>
    <mergeCell ref="H21:J21"/>
    <mergeCell ref="H25:J25"/>
    <mergeCell ref="V29:AA30"/>
    <mergeCell ref="H32:M32"/>
    <mergeCell ref="H33:M34"/>
    <mergeCell ref="H35:I35"/>
    <mergeCell ref="J35:L35"/>
    <mergeCell ref="H26:J26"/>
    <mergeCell ref="H27:M27"/>
    <mergeCell ref="H28:M28"/>
    <mergeCell ref="H29:M31"/>
    <mergeCell ref="O30:T32"/>
    <mergeCell ref="H37:I37"/>
    <mergeCell ref="J37:L37"/>
    <mergeCell ref="O36:T36"/>
    <mergeCell ref="H38:I38"/>
    <mergeCell ref="J38:L38"/>
    <mergeCell ref="O37:T42"/>
    <mergeCell ref="H39:I39"/>
    <mergeCell ref="J39:L39"/>
    <mergeCell ref="H40:I40"/>
    <mergeCell ref="J40:L40"/>
    <mergeCell ref="H36:I36"/>
    <mergeCell ref="J36:L36"/>
    <mergeCell ref="H42:M44"/>
    <mergeCell ref="O43:T43"/>
    <mergeCell ref="P44:T44"/>
    <mergeCell ref="P45:T45"/>
    <mergeCell ref="P46:T46"/>
    <mergeCell ref="P48:T48"/>
    <mergeCell ref="P49:T49"/>
    <mergeCell ref="O50:T50"/>
    <mergeCell ref="P47:T47"/>
    <mergeCell ref="O62:T62"/>
    <mergeCell ref="O63:T64"/>
    <mergeCell ref="O89:T91"/>
    <mergeCell ref="H52:M54"/>
    <mergeCell ref="O51:T53"/>
    <mergeCell ref="O54:T54"/>
    <mergeCell ref="O59:T59"/>
    <mergeCell ref="O55:T58"/>
    <mergeCell ref="O71:T74"/>
    <mergeCell ref="O97:T98"/>
    <mergeCell ref="O105:T106"/>
    <mergeCell ref="H3:M11"/>
    <mergeCell ref="O70:P70"/>
    <mergeCell ref="Q70:T70"/>
    <mergeCell ref="O77:T77"/>
    <mergeCell ref="O78:T80"/>
    <mergeCell ref="O86:T88"/>
    <mergeCell ref="O65:P67"/>
    <mergeCell ref="Q65:T67"/>
    <mergeCell ref="O68:P68"/>
    <mergeCell ref="Q68:T68"/>
    <mergeCell ref="O69:P69"/>
    <mergeCell ref="Q69:T69"/>
    <mergeCell ref="O60:T61"/>
    <mergeCell ref="H62:M6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97"/>
  <sheetViews>
    <sheetView zoomScale="85" zoomScaleNormal="85" workbookViewId="0">
      <selection activeCell="AQ91" sqref="AQ91"/>
    </sheetView>
  </sheetViews>
  <sheetFormatPr defaultColWidth="9.140625" defaultRowHeight="15" x14ac:dyDescent="0.25"/>
  <cols>
    <col min="1" max="1" width="7.7109375" style="155" bestFit="1" customWidth="1"/>
    <col min="2" max="2" width="21.7109375" style="155" bestFit="1" customWidth="1"/>
    <col min="3" max="3" width="17.28515625" style="155" bestFit="1" customWidth="1"/>
    <col min="4" max="4" width="27.42578125" style="155" bestFit="1" customWidth="1"/>
    <col min="5" max="5" width="26.5703125" style="178" customWidth="1"/>
    <col min="6" max="6" width="26.28515625" style="155" bestFit="1" customWidth="1"/>
    <col min="7" max="7" width="22.42578125" style="155" bestFit="1" customWidth="1"/>
    <col min="8" max="9" width="9.140625" style="155"/>
    <col min="10" max="10" width="21.7109375" style="155" bestFit="1" customWidth="1"/>
    <col min="11" max="11" width="17.28515625" style="155" bestFit="1" customWidth="1"/>
    <col min="12" max="14" width="9.140625" style="155"/>
    <col min="15" max="15" width="12.5703125" style="155" bestFit="1" customWidth="1"/>
    <col min="16" max="16" width="17.85546875" style="155" bestFit="1" customWidth="1"/>
    <col min="17" max="17" width="12.5703125" style="155" bestFit="1" customWidth="1"/>
    <col min="18" max="18" width="18.85546875" style="155" bestFit="1" customWidth="1"/>
    <col min="19" max="20" width="9.140625" style="155"/>
    <col min="21" max="21" width="28.140625" style="155" customWidth="1"/>
    <col min="22" max="22" width="17.7109375" style="155" customWidth="1"/>
    <col min="23" max="23" width="15" style="155" customWidth="1"/>
    <col min="24" max="24" width="26" style="155" customWidth="1"/>
    <col min="25" max="25" width="15.140625" style="155" customWidth="1"/>
    <col min="26" max="26" width="15.5703125" style="155" customWidth="1"/>
    <col min="27" max="27" width="10.28515625" style="155" bestFit="1" customWidth="1"/>
    <col min="28" max="28" width="20.5703125" style="155" customWidth="1"/>
    <col min="29" max="29" width="16.7109375" style="155" customWidth="1"/>
    <col min="30" max="30" width="16.140625" style="155" customWidth="1"/>
    <col min="31" max="31" width="19.28515625" style="155" customWidth="1"/>
    <col min="32" max="32" width="19.5703125" style="155" bestFit="1" customWidth="1"/>
    <col min="33" max="33" width="17.28515625" style="155" bestFit="1" customWidth="1"/>
    <col min="34" max="34" width="10.85546875" style="155" bestFit="1" customWidth="1"/>
    <col min="35" max="35" width="17.5703125" style="155" customWidth="1"/>
    <col min="36" max="36" width="16.42578125" style="155" customWidth="1"/>
    <col min="37" max="37" width="15.7109375" style="155" customWidth="1"/>
    <col min="38" max="38" width="14" style="155" customWidth="1"/>
    <col min="39" max="40" width="9.140625" style="155"/>
    <col min="41" max="41" width="21.85546875" style="155" customWidth="1"/>
    <col min="42" max="42" width="14.85546875" style="155" customWidth="1"/>
    <col min="43" max="43" width="16.7109375" style="155" customWidth="1"/>
    <col min="44" max="44" width="14.140625" style="155" customWidth="1"/>
    <col min="45" max="45" width="15.140625" style="155" customWidth="1"/>
    <col min="46" max="46" width="17.42578125" style="155" customWidth="1"/>
    <col min="47" max="47" width="39.140625" style="155" bestFit="1" customWidth="1"/>
    <col min="48" max="48" width="15.5703125" style="155" customWidth="1"/>
    <col min="49" max="50" width="16" style="155" bestFit="1" customWidth="1"/>
    <col min="51" max="16384" width="9.140625" style="155"/>
  </cols>
  <sheetData>
    <row r="1" spans="1:50" ht="16.5" thickTop="1" thickBot="1" x14ac:dyDescent="0.3">
      <c r="A1" s="629" t="s">
        <v>295</v>
      </c>
      <c r="B1" s="629"/>
      <c r="C1" s="629"/>
      <c r="D1" s="629"/>
      <c r="E1" s="629"/>
      <c r="F1" s="629"/>
      <c r="G1" s="629"/>
      <c r="I1" s="631" t="s">
        <v>294</v>
      </c>
      <c r="J1" s="631"/>
      <c r="K1" s="631"/>
      <c r="L1" s="631"/>
      <c r="M1" s="631"/>
      <c r="N1" s="631"/>
      <c r="O1" s="631"/>
      <c r="P1" s="631"/>
      <c r="Q1" s="631"/>
      <c r="R1" s="631"/>
      <c r="T1" s="641" t="s">
        <v>293</v>
      </c>
      <c r="U1" s="641"/>
      <c r="V1" s="641"/>
      <c r="W1" s="641"/>
      <c r="X1" s="641"/>
      <c r="Y1" s="641"/>
      <c r="Z1" s="641"/>
      <c r="AA1" s="641"/>
      <c r="AB1" s="641"/>
      <c r="AC1" s="641"/>
      <c r="AD1" s="641"/>
      <c r="AE1" s="641"/>
      <c r="AF1" s="641"/>
      <c r="AG1" s="641"/>
      <c r="AH1" s="641"/>
      <c r="AI1" s="641"/>
      <c r="AJ1" s="641"/>
      <c r="AK1" s="641"/>
      <c r="AL1" s="641"/>
      <c r="AN1" s="615" t="s">
        <v>312</v>
      </c>
      <c r="AO1" s="615"/>
      <c r="AP1" s="615"/>
      <c r="AQ1" s="615"/>
      <c r="AR1" s="615"/>
      <c r="AS1" s="615"/>
      <c r="AT1" s="615"/>
      <c r="AU1" s="615"/>
      <c r="AV1" s="615"/>
      <c r="AW1" s="615"/>
      <c r="AX1" s="615"/>
    </row>
    <row r="2" spans="1:50" ht="16.5" thickTop="1" thickBot="1" x14ac:dyDescent="0.3">
      <c r="A2" s="629"/>
      <c r="B2" s="629"/>
      <c r="C2" s="629"/>
      <c r="D2" s="629"/>
      <c r="E2" s="629"/>
      <c r="F2" s="629"/>
      <c r="G2" s="629"/>
      <c r="I2" s="631"/>
      <c r="J2" s="631"/>
      <c r="K2" s="631"/>
      <c r="L2" s="631"/>
      <c r="M2" s="631"/>
      <c r="N2" s="631"/>
      <c r="O2" s="631"/>
      <c r="P2" s="631"/>
      <c r="Q2" s="631"/>
      <c r="R2" s="631"/>
      <c r="T2" s="636" t="s">
        <v>260</v>
      </c>
      <c r="U2" s="643" t="s">
        <v>186</v>
      </c>
      <c r="V2" s="639" t="s">
        <v>188</v>
      </c>
      <c r="W2" s="639" t="s">
        <v>214</v>
      </c>
      <c r="X2" s="640" t="s">
        <v>215</v>
      </c>
      <c r="Y2" s="640"/>
      <c r="Z2" s="640"/>
      <c r="AA2" s="640"/>
      <c r="AB2" s="646" t="s">
        <v>216</v>
      </c>
      <c r="AC2" s="647"/>
      <c r="AD2" s="647"/>
      <c r="AE2" s="647"/>
      <c r="AF2" s="647"/>
      <c r="AG2" s="647"/>
      <c r="AH2" s="648"/>
      <c r="AI2" s="646" t="s">
        <v>217</v>
      </c>
      <c r="AJ2" s="648"/>
      <c r="AK2" s="638" t="s">
        <v>218</v>
      </c>
      <c r="AL2" s="638" t="s">
        <v>219</v>
      </c>
      <c r="AN2" s="615"/>
      <c r="AO2" s="615"/>
      <c r="AP2" s="615"/>
      <c r="AQ2" s="615"/>
      <c r="AR2" s="615"/>
      <c r="AS2" s="615"/>
      <c r="AT2" s="615"/>
      <c r="AU2" s="615"/>
      <c r="AV2" s="615"/>
      <c r="AW2" s="615"/>
      <c r="AX2" s="615"/>
    </row>
    <row r="3" spans="1:50" ht="16.5" thickTop="1" thickBot="1" x14ac:dyDescent="0.3">
      <c r="A3" s="630"/>
      <c r="B3" s="630"/>
      <c r="C3" s="630"/>
      <c r="D3" s="630"/>
      <c r="E3" s="630"/>
      <c r="F3" s="630"/>
      <c r="G3" s="630"/>
      <c r="I3" s="632"/>
      <c r="J3" s="632"/>
      <c r="K3" s="632"/>
      <c r="L3" s="632"/>
      <c r="M3" s="632"/>
      <c r="N3" s="632"/>
      <c r="O3" s="632"/>
      <c r="P3" s="632"/>
      <c r="Q3" s="632"/>
      <c r="R3" s="632"/>
      <c r="T3" s="642"/>
      <c r="U3" s="644"/>
      <c r="V3" s="639"/>
      <c r="W3" s="639"/>
      <c r="X3" s="636" t="s">
        <v>220</v>
      </c>
      <c r="Y3" s="638" t="s">
        <v>221</v>
      </c>
      <c r="Z3" s="639" t="s">
        <v>222</v>
      </c>
      <c r="AA3" s="639" t="s">
        <v>223</v>
      </c>
      <c r="AB3" s="640" t="s">
        <v>224</v>
      </c>
      <c r="AC3" s="640"/>
      <c r="AD3" s="640" t="s">
        <v>225</v>
      </c>
      <c r="AE3" s="640"/>
      <c r="AF3" s="640"/>
      <c r="AG3" s="640"/>
      <c r="AH3" s="639" t="s">
        <v>226</v>
      </c>
      <c r="AI3" s="640" t="s">
        <v>227</v>
      </c>
      <c r="AJ3" s="640" t="s">
        <v>228</v>
      </c>
      <c r="AK3" s="649"/>
      <c r="AL3" s="649"/>
      <c r="AN3" s="616"/>
      <c r="AO3" s="616"/>
      <c r="AP3" s="616"/>
      <c r="AQ3" s="616"/>
      <c r="AR3" s="616"/>
      <c r="AS3" s="616"/>
      <c r="AT3" s="616"/>
      <c r="AU3" s="616"/>
      <c r="AV3" s="616"/>
      <c r="AW3" s="616"/>
      <c r="AX3" s="616"/>
    </row>
    <row r="4" spans="1:50" ht="31.5" thickTop="1" thickBot="1" x14ac:dyDescent="0.3">
      <c r="A4" s="179" t="s">
        <v>260</v>
      </c>
      <c r="B4" s="179" t="s">
        <v>186</v>
      </c>
      <c r="C4" s="179" t="s">
        <v>188</v>
      </c>
      <c r="D4" s="179" t="s">
        <v>54</v>
      </c>
      <c r="E4" s="180" t="s">
        <v>168</v>
      </c>
      <c r="F4" s="179" t="s">
        <v>205</v>
      </c>
      <c r="G4" s="179" t="s">
        <v>187</v>
      </c>
      <c r="I4" s="179" t="s">
        <v>260</v>
      </c>
      <c r="J4" s="179" t="s">
        <v>186</v>
      </c>
      <c r="K4" s="179" t="s">
        <v>188</v>
      </c>
      <c r="L4" s="179" t="s">
        <v>206</v>
      </c>
      <c r="M4" s="179" t="s">
        <v>207</v>
      </c>
      <c r="N4" s="179" t="s">
        <v>208</v>
      </c>
      <c r="O4" s="179" t="s">
        <v>209</v>
      </c>
      <c r="P4" s="179" t="s">
        <v>210</v>
      </c>
      <c r="Q4" s="179" t="s">
        <v>211</v>
      </c>
      <c r="R4" s="179" t="s">
        <v>212</v>
      </c>
      <c r="T4" s="637"/>
      <c r="U4" s="645"/>
      <c r="V4" s="639"/>
      <c r="W4" s="639"/>
      <c r="X4" s="637"/>
      <c r="Y4" s="637"/>
      <c r="Z4" s="640"/>
      <c r="AA4" s="640"/>
      <c r="AB4" s="135" t="s">
        <v>249</v>
      </c>
      <c r="AC4" s="135" t="s">
        <v>252</v>
      </c>
      <c r="AD4" s="112" t="s">
        <v>229</v>
      </c>
      <c r="AE4" s="112" t="s">
        <v>230</v>
      </c>
      <c r="AF4" s="135" t="s">
        <v>251</v>
      </c>
      <c r="AG4" s="112" t="s">
        <v>225</v>
      </c>
      <c r="AH4" s="639"/>
      <c r="AI4" s="640"/>
      <c r="AJ4" s="640"/>
      <c r="AK4" s="650"/>
      <c r="AL4" s="650"/>
      <c r="AN4" s="112" t="s">
        <v>260</v>
      </c>
      <c r="AO4" s="112" t="s">
        <v>186</v>
      </c>
      <c r="AP4" s="135" t="s">
        <v>188</v>
      </c>
      <c r="AQ4" s="367" t="s">
        <v>237</v>
      </c>
      <c r="AR4" s="135" t="s">
        <v>238</v>
      </c>
      <c r="AS4" s="135" t="s">
        <v>239</v>
      </c>
      <c r="AT4" s="135" t="s">
        <v>240</v>
      </c>
      <c r="AU4" s="135" t="s">
        <v>258</v>
      </c>
      <c r="AV4" s="112" t="s">
        <v>91</v>
      </c>
      <c r="AW4" s="135" t="s">
        <v>259</v>
      </c>
      <c r="AX4" s="304" t="s">
        <v>311</v>
      </c>
    </row>
    <row r="5" spans="1:50" ht="20.25" thickTop="1" thickBot="1" x14ac:dyDescent="0.35">
      <c r="A5" s="660">
        <v>1</v>
      </c>
      <c r="B5" s="660" t="s">
        <v>67</v>
      </c>
      <c r="C5" s="181" t="s">
        <v>26</v>
      </c>
      <c r="D5" s="182" t="str">
        <f>'1.Conventional'!L6</f>
        <v>NBR*(NBT+NBL)</v>
      </c>
      <c r="E5" s="183">
        <f>'1.Conventional'!M6</f>
        <v>51046875</v>
      </c>
      <c r="F5" s="661">
        <f>SUM(E5:E12)</f>
        <v>830312500</v>
      </c>
      <c r="G5" s="654">
        <f>F5/F5</f>
        <v>1</v>
      </c>
      <c r="I5" s="651">
        <v>1</v>
      </c>
      <c r="J5" s="651" t="s">
        <v>67</v>
      </c>
      <c r="K5" s="181" t="s">
        <v>26</v>
      </c>
      <c r="L5" s="182">
        <f>'1.Conventional'!Q6</f>
        <v>15</v>
      </c>
      <c r="M5" s="182">
        <f>'1.Conventional'!R6</f>
        <v>15</v>
      </c>
      <c r="N5" s="182">
        <f>'1.Conventional'!S6</f>
        <v>10</v>
      </c>
      <c r="O5" s="182">
        <f>'1.Conventional'!T6</f>
        <v>1.3073361412148754</v>
      </c>
      <c r="P5" s="182">
        <f>'1.Conventional'!U6</f>
        <v>3.259682051177461E-7</v>
      </c>
      <c r="Q5" s="184">
        <f>'1.Conventional'!V6</f>
        <v>6.519363039802215E-7</v>
      </c>
      <c r="R5" s="657">
        <f>'1.Conventional'!W6</f>
        <v>2.6818053976420545E-3</v>
      </c>
      <c r="T5" s="617">
        <v>1</v>
      </c>
      <c r="U5" s="617" t="s">
        <v>67</v>
      </c>
      <c r="V5" s="72" t="s">
        <v>26</v>
      </c>
      <c r="W5" s="136" t="str">
        <f>'1.Conventional'!Z6</f>
        <v>D</v>
      </c>
      <c r="X5" s="137" t="str">
        <f>'1.Conventional'!AA6</f>
        <v>Permitted or yield control</v>
      </c>
      <c r="Y5" s="137">
        <f>'1.Conventional'!AB6</f>
        <v>1</v>
      </c>
      <c r="Z5" s="137">
        <f>'1.Conventional'!AC6</f>
        <v>0.5</v>
      </c>
      <c r="AA5" s="137">
        <f>'1.Conventional'!AD6</f>
        <v>1</v>
      </c>
      <c r="AB5" s="137" t="str">
        <f>'1.Conventional'!AE6</f>
        <v>NA</v>
      </c>
      <c r="AC5" s="137">
        <f>'1.Conventional'!AF6</f>
        <v>0</v>
      </c>
      <c r="AD5" s="137">
        <f>'1.Conventional'!AG6</f>
        <v>0</v>
      </c>
      <c r="AE5" s="137" t="str">
        <f>'1.Conventional'!AH6</f>
        <v>NA</v>
      </c>
      <c r="AF5" s="137">
        <f>'1.Conventional'!AI6</f>
        <v>0</v>
      </c>
      <c r="AG5" s="137">
        <f>'1.Conventional'!AJ6</f>
        <v>0</v>
      </c>
      <c r="AH5" s="137">
        <f>'1.Conventional'!AK6</f>
        <v>1</v>
      </c>
      <c r="AI5" s="137" t="str">
        <f>'1.Conventional'!AL6</f>
        <v>NA</v>
      </c>
      <c r="AJ5" s="137">
        <f>'1.Conventional'!AM6</f>
        <v>1</v>
      </c>
      <c r="AK5" s="138">
        <f>'1.Conventional'!AN6</f>
        <v>1</v>
      </c>
      <c r="AL5" s="633">
        <f>'1.Conventional'!AO6</f>
        <v>1</v>
      </c>
      <c r="AN5" s="617">
        <v>1</v>
      </c>
      <c r="AO5" s="617" t="s">
        <v>67</v>
      </c>
      <c r="AP5" s="113" t="s">
        <v>26</v>
      </c>
      <c r="AQ5" s="156">
        <f>'1.Conventional'!AR6</f>
        <v>51046875</v>
      </c>
      <c r="AR5" s="133">
        <f>'1.Conventional'!AS6</f>
        <v>6.519363039802215E-7</v>
      </c>
      <c r="AS5" s="114">
        <f>'1.Conventional'!AT6</f>
        <v>1</v>
      </c>
      <c r="AT5" s="114">
        <f>'1.Conventional'!AU6</f>
        <v>1</v>
      </c>
      <c r="AU5" s="5">
        <f>'1.Conventional'!AV6</f>
        <v>33.279311017240367</v>
      </c>
      <c r="AV5" s="620">
        <f>'1.Conventional'!AW6</f>
        <v>3763395.4401546489</v>
      </c>
      <c r="AW5" s="620">
        <f>'1.Conventional'!AX6</f>
        <v>75.979972733596554</v>
      </c>
      <c r="AX5" s="623">
        <f>'1.Conventional'!AY6</f>
        <v>6.1754587307298294</v>
      </c>
    </row>
    <row r="6" spans="1:50" ht="20.25" thickTop="1" thickBot="1" x14ac:dyDescent="0.35">
      <c r="A6" s="660"/>
      <c r="B6" s="660"/>
      <c r="C6" s="185" t="s">
        <v>27</v>
      </c>
      <c r="D6" s="186" t="str">
        <f>'1.Conventional'!L7</f>
        <v>NBT*NBL</v>
      </c>
      <c r="E6" s="187">
        <f>'1.Conventional'!M7</f>
        <v>34031250</v>
      </c>
      <c r="F6" s="662"/>
      <c r="G6" s="655"/>
      <c r="I6" s="652"/>
      <c r="J6" s="652"/>
      <c r="K6" s="185" t="s">
        <v>27</v>
      </c>
      <c r="L6" s="186">
        <f>'1.Conventional'!Q7</f>
        <v>15</v>
      </c>
      <c r="M6" s="186">
        <f>'1.Conventional'!R7</f>
        <v>15</v>
      </c>
      <c r="N6" s="186">
        <f>'1.Conventional'!S7</f>
        <v>10</v>
      </c>
      <c r="O6" s="186">
        <f>'1.Conventional'!T7</f>
        <v>1.3073361412148754</v>
      </c>
      <c r="P6" s="186">
        <f>'1.Conventional'!U7</f>
        <v>3.259682051177461E-7</v>
      </c>
      <c r="Q6" s="188">
        <f>'1.Conventional'!V7</f>
        <v>6.519363039802215E-7</v>
      </c>
      <c r="R6" s="658"/>
      <c r="T6" s="618"/>
      <c r="U6" s="618"/>
      <c r="V6" s="73" t="s">
        <v>27</v>
      </c>
      <c r="W6" s="139" t="str">
        <f>'1.Conventional'!Z7</f>
        <v>D</v>
      </c>
      <c r="X6" s="134" t="str">
        <f>'1.Conventional'!AA7</f>
        <v>Permitted or yield control</v>
      </c>
      <c r="Y6" s="134">
        <f>'1.Conventional'!AB7</f>
        <v>1</v>
      </c>
      <c r="Z6" s="134">
        <f>'1.Conventional'!AC7</f>
        <v>0.5</v>
      </c>
      <c r="AA6" s="134">
        <f>'1.Conventional'!AD7</f>
        <v>1</v>
      </c>
      <c r="AB6" s="134" t="str">
        <f>'1.Conventional'!AE7</f>
        <v>NA</v>
      </c>
      <c r="AC6" s="134">
        <f>'1.Conventional'!AF7</f>
        <v>0</v>
      </c>
      <c r="AD6" s="134">
        <f>'1.Conventional'!AG7</f>
        <v>0</v>
      </c>
      <c r="AE6" s="134" t="str">
        <f>'1.Conventional'!AH7</f>
        <v>NA</v>
      </c>
      <c r="AF6" s="134">
        <f>'1.Conventional'!AI7</f>
        <v>0</v>
      </c>
      <c r="AG6" s="134">
        <f>'1.Conventional'!AJ7</f>
        <v>0</v>
      </c>
      <c r="AH6" s="134">
        <f>'1.Conventional'!AK7</f>
        <v>1</v>
      </c>
      <c r="AI6" s="134" t="str">
        <f>'1.Conventional'!AL7</f>
        <v>NA</v>
      </c>
      <c r="AJ6" s="134">
        <f>'1.Conventional'!AM7</f>
        <v>1</v>
      </c>
      <c r="AK6" s="140">
        <f>'1.Conventional'!AN7</f>
        <v>1</v>
      </c>
      <c r="AL6" s="634"/>
      <c r="AN6" s="618"/>
      <c r="AO6" s="618"/>
      <c r="AP6" s="115" t="s">
        <v>27</v>
      </c>
      <c r="AQ6" s="157">
        <f>'1.Conventional'!AR7</f>
        <v>34031250</v>
      </c>
      <c r="AR6" s="158">
        <f>'1.Conventional'!AS7</f>
        <v>6.519363039802215E-7</v>
      </c>
      <c r="AS6" s="116">
        <f>'1.Conventional'!AT7</f>
        <v>1</v>
      </c>
      <c r="AT6" s="116">
        <f>'1.Conventional'!AU7</f>
        <v>1</v>
      </c>
      <c r="AU6" s="6">
        <f>'1.Conventional'!AV7</f>
        <v>22.186207344826911</v>
      </c>
      <c r="AV6" s="621"/>
      <c r="AW6" s="621"/>
      <c r="AX6" s="624"/>
    </row>
    <row r="7" spans="1:50" ht="20.25" thickTop="1" thickBot="1" x14ac:dyDescent="0.35">
      <c r="A7" s="660"/>
      <c r="B7" s="660"/>
      <c r="C7" s="190" t="s">
        <v>22</v>
      </c>
      <c r="D7" s="186" t="str">
        <f>'1.Conventional'!L8</f>
        <v>WBR*(WBT+WBL)</v>
      </c>
      <c r="E7" s="187">
        <f>'1.Conventional'!M8</f>
        <v>198046875</v>
      </c>
      <c r="F7" s="662"/>
      <c r="G7" s="655"/>
      <c r="I7" s="652"/>
      <c r="J7" s="652"/>
      <c r="K7" s="190" t="s">
        <v>22</v>
      </c>
      <c r="L7" s="186">
        <f>'1.Conventional'!Q8</f>
        <v>45</v>
      </c>
      <c r="M7" s="186">
        <f>'1.Conventional'!R8</f>
        <v>15</v>
      </c>
      <c r="N7" s="186">
        <f>'1.Conventional'!S8</f>
        <v>10</v>
      </c>
      <c r="O7" s="186">
        <f>'1.Conventional'!T8</f>
        <v>15.169950011729762</v>
      </c>
      <c r="P7" s="186">
        <f>'1.Conventional'!U8</f>
        <v>3.5318107578168117E-3</v>
      </c>
      <c r="Q7" s="186">
        <f>'1.Conventional'!V8</f>
        <v>7.051147828404593E-3</v>
      </c>
      <c r="R7" s="658"/>
      <c r="T7" s="618"/>
      <c r="U7" s="618"/>
      <c r="V7" s="74" t="s">
        <v>22</v>
      </c>
      <c r="W7" s="139" t="str">
        <f>'1.Conventional'!Z8</f>
        <v>D</v>
      </c>
      <c r="X7" s="134" t="str">
        <f>'1.Conventional'!AA8</f>
        <v>Permitted or yield control</v>
      </c>
      <c r="Y7" s="134">
        <f>'1.Conventional'!AB8</f>
        <v>1</v>
      </c>
      <c r="Z7" s="134">
        <f>'1.Conventional'!AC8</f>
        <v>0.5</v>
      </c>
      <c r="AA7" s="134">
        <f>'1.Conventional'!AD8</f>
        <v>1</v>
      </c>
      <c r="AB7" s="134" t="str">
        <f>'1.Conventional'!AE8</f>
        <v>NA</v>
      </c>
      <c r="AC7" s="134">
        <f>'1.Conventional'!AF8</f>
        <v>0</v>
      </c>
      <c r="AD7" s="134">
        <f>'1.Conventional'!AG8</f>
        <v>0</v>
      </c>
      <c r="AE7" s="134" t="str">
        <f>'1.Conventional'!AH8</f>
        <v>NA</v>
      </c>
      <c r="AF7" s="134">
        <f>'1.Conventional'!AI8</f>
        <v>0</v>
      </c>
      <c r="AG7" s="134">
        <f>'1.Conventional'!AJ8</f>
        <v>0</v>
      </c>
      <c r="AH7" s="134">
        <f>'1.Conventional'!AK8</f>
        <v>1</v>
      </c>
      <c r="AI7" s="134" t="str">
        <f>'1.Conventional'!AL8</f>
        <v>NA</v>
      </c>
      <c r="AJ7" s="134">
        <f>'1.Conventional'!AM8</f>
        <v>1</v>
      </c>
      <c r="AK7" s="140">
        <f>'1.Conventional'!AN8</f>
        <v>1</v>
      </c>
      <c r="AL7" s="634"/>
      <c r="AN7" s="618"/>
      <c r="AO7" s="618"/>
      <c r="AP7" s="117" t="s">
        <v>22</v>
      </c>
      <c r="AQ7" s="157">
        <f>'1.Conventional'!AR8</f>
        <v>198046875</v>
      </c>
      <c r="AR7" s="158">
        <f>'1.Conventional'!AS8</f>
        <v>7.051147828404593E-3</v>
      </c>
      <c r="AS7" s="116">
        <f>'1.Conventional'!AT8</f>
        <v>1</v>
      </c>
      <c r="AT7" s="116">
        <f>'1.Conventional'!AU8</f>
        <v>1</v>
      </c>
      <c r="AU7" s="6">
        <f>'1.Conventional'!AV8</f>
        <v>1396457.7925785659</v>
      </c>
      <c r="AV7" s="621"/>
      <c r="AW7" s="621"/>
      <c r="AX7" s="624"/>
    </row>
    <row r="8" spans="1:50" ht="20.25" thickTop="1" thickBot="1" x14ac:dyDescent="0.35">
      <c r="A8" s="660"/>
      <c r="B8" s="660"/>
      <c r="C8" s="190" t="s">
        <v>20</v>
      </c>
      <c r="D8" s="186" t="str">
        <f>'1.Conventional'!L9</f>
        <v>WBT*WBL</v>
      </c>
      <c r="E8" s="187">
        <f>'1.Conventional'!M9</f>
        <v>132031250</v>
      </c>
      <c r="F8" s="662"/>
      <c r="G8" s="655"/>
      <c r="I8" s="652"/>
      <c r="J8" s="652"/>
      <c r="K8" s="190" t="s">
        <v>20</v>
      </c>
      <c r="L8" s="186">
        <f>'1.Conventional'!Q9</f>
        <v>45</v>
      </c>
      <c r="M8" s="186">
        <f>'1.Conventional'!R9</f>
        <v>20</v>
      </c>
      <c r="N8" s="186">
        <f>'1.Conventional'!S9</f>
        <v>10</v>
      </c>
      <c r="O8" s="186">
        <f>'1.Conventional'!T9</f>
        <v>12.77053292327718</v>
      </c>
      <c r="P8" s="186">
        <f>'1.Conventional'!U9</f>
        <v>1.8390760451277139E-3</v>
      </c>
      <c r="Q8" s="186">
        <f>'1.Conventional'!V9</f>
        <v>3.6747698895556653E-3</v>
      </c>
      <c r="R8" s="658"/>
      <c r="T8" s="618"/>
      <c r="U8" s="618"/>
      <c r="V8" s="74" t="s">
        <v>20</v>
      </c>
      <c r="W8" s="139" t="str">
        <f>'1.Conventional'!Z9</f>
        <v>D</v>
      </c>
      <c r="X8" s="134" t="str">
        <f>'1.Conventional'!AA9</f>
        <v>Permitted or yield control</v>
      </c>
      <c r="Y8" s="134">
        <f>'1.Conventional'!AB9</f>
        <v>1</v>
      </c>
      <c r="Z8" s="134">
        <f>'1.Conventional'!AC9</f>
        <v>0.5</v>
      </c>
      <c r="AA8" s="134">
        <f>'1.Conventional'!AD9</f>
        <v>1</v>
      </c>
      <c r="AB8" s="134" t="str">
        <f>'1.Conventional'!AE9</f>
        <v>NA</v>
      </c>
      <c r="AC8" s="134">
        <f>'1.Conventional'!AF9</f>
        <v>0</v>
      </c>
      <c r="AD8" s="134">
        <f>'1.Conventional'!AG9</f>
        <v>0</v>
      </c>
      <c r="AE8" s="134" t="str">
        <f>'1.Conventional'!AH9</f>
        <v>NA</v>
      </c>
      <c r="AF8" s="134">
        <f>'1.Conventional'!AI9</f>
        <v>0</v>
      </c>
      <c r="AG8" s="134">
        <f>'1.Conventional'!AJ9</f>
        <v>0</v>
      </c>
      <c r="AH8" s="134">
        <f>'1.Conventional'!AK9</f>
        <v>1</v>
      </c>
      <c r="AI8" s="134" t="str">
        <f>'1.Conventional'!AL9</f>
        <v>NA</v>
      </c>
      <c r="AJ8" s="134">
        <f>'1.Conventional'!AM9</f>
        <v>1</v>
      </c>
      <c r="AK8" s="140">
        <f>'1.Conventional'!AN9</f>
        <v>1</v>
      </c>
      <c r="AL8" s="634"/>
      <c r="AN8" s="618"/>
      <c r="AO8" s="618"/>
      <c r="AP8" s="117" t="s">
        <v>20</v>
      </c>
      <c r="AQ8" s="157">
        <f>'1.Conventional'!AR9</f>
        <v>132031250</v>
      </c>
      <c r="AR8" s="158">
        <f>'1.Conventional'!AS9</f>
        <v>3.6747698895556653E-3</v>
      </c>
      <c r="AS8" s="116">
        <f>'1.Conventional'!AT9</f>
        <v>1</v>
      </c>
      <c r="AT8" s="116">
        <f>'1.Conventional'!AU9</f>
        <v>1</v>
      </c>
      <c r="AU8" s="6">
        <f>'1.Conventional'!AV9</f>
        <v>485184.46198039642</v>
      </c>
      <c r="AV8" s="621"/>
      <c r="AW8" s="621"/>
      <c r="AX8" s="624"/>
    </row>
    <row r="9" spans="1:50" ht="20.25" thickTop="1" thickBot="1" x14ac:dyDescent="0.35">
      <c r="A9" s="660"/>
      <c r="B9" s="660"/>
      <c r="C9" s="190" t="s">
        <v>28</v>
      </c>
      <c r="D9" s="186" t="str">
        <f>'1.Conventional'!L10</f>
        <v>SBR*(SBT+SBL)</v>
      </c>
      <c r="E9" s="187">
        <f>'1.Conventional'!M10</f>
        <v>51046875</v>
      </c>
      <c r="F9" s="662"/>
      <c r="G9" s="655"/>
      <c r="I9" s="652"/>
      <c r="J9" s="652"/>
      <c r="K9" s="190" t="s">
        <v>28</v>
      </c>
      <c r="L9" s="186">
        <f>'1.Conventional'!Q10</f>
        <v>15</v>
      </c>
      <c r="M9" s="186">
        <f>'1.Conventional'!R10</f>
        <v>15</v>
      </c>
      <c r="N9" s="186">
        <f>'1.Conventional'!S10</f>
        <v>10</v>
      </c>
      <c r="O9" s="186">
        <f>'1.Conventional'!T10</f>
        <v>1.3073361412148754</v>
      </c>
      <c r="P9" s="186">
        <f>'1.Conventional'!U10</f>
        <v>3.259682051177461E-7</v>
      </c>
      <c r="Q9" s="186">
        <f>'1.Conventional'!V10</f>
        <v>6.519363039802215E-7</v>
      </c>
      <c r="R9" s="658"/>
      <c r="T9" s="618"/>
      <c r="U9" s="618"/>
      <c r="V9" s="74" t="s">
        <v>28</v>
      </c>
      <c r="W9" s="139" t="str">
        <f>'1.Conventional'!Z10</f>
        <v>D</v>
      </c>
      <c r="X9" s="134" t="str">
        <f>'1.Conventional'!AA10</f>
        <v>Permitted or yield control</v>
      </c>
      <c r="Y9" s="134">
        <f>'1.Conventional'!AB10</f>
        <v>1</v>
      </c>
      <c r="Z9" s="134">
        <f>'1.Conventional'!AC10</f>
        <v>0.5</v>
      </c>
      <c r="AA9" s="134">
        <f>'1.Conventional'!AD10</f>
        <v>1</v>
      </c>
      <c r="AB9" s="134" t="str">
        <f>'1.Conventional'!AE10</f>
        <v>NA</v>
      </c>
      <c r="AC9" s="134">
        <f>'1.Conventional'!AF10</f>
        <v>0</v>
      </c>
      <c r="AD9" s="134">
        <f>'1.Conventional'!AG10</f>
        <v>0</v>
      </c>
      <c r="AE9" s="134" t="str">
        <f>'1.Conventional'!AH10</f>
        <v>NA</v>
      </c>
      <c r="AF9" s="134">
        <f>'1.Conventional'!AI10</f>
        <v>0</v>
      </c>
      <c r="AG9" s="134">
        <f>'1.Conventional'!AJ10</f>
        <v>0</v>
      </c>
      <c r="AH9" s="134">
        <f>'1.Conventional'!AK10</f>
        <v>1</v>
      </c>
      <c r="AI9" s="134" t="str">
        <f>'1.Conventional'!AL10</f>
        <v>NA</v>
      </c>
      <c r="AJ9" s="134">
        <f>'1.Conventional'!AM10</f>
        <v>1</v>
      </c>
      <c r="AK9" s="140">
        <f>'1.Conventional'!AN10</f>
        <v>1</v>
      </c>
      <c r="AL9" s="634"/>
      <c r="AN9" s="618"/>
      <c r="AO9" s="618"/>
      <c r="AP9" s="117" t="s">
        <v>28</v>
      </c>
      <c r="AQ9" s="157">
        <f>'1.Conventional'!AR10</f>
        <v>51046875</v>
      </c>
      <c r="AR9" s="158">
        <f>'1.Conventional'!AS10</f>
        <v>6.519363039802215E-7</v>
      </c>
      <c r="AS9" s="116">
        <f>'1.Conventional'!AT10</f>
        <v>1</v>
      </c>
      <c r="AT9" s="116">
        <f>'1.Conventional'!AU10</f>
        <v>1</v>
      </c>
      <c r="AU9" s="6">
        <f>'1.Conventional'!AV10</f>
        <v>33.279311017240367</v>
      </c>
      <c r="AV9" s="621"/>
      <c r="AW9" s="621"/>
      <c r="AX9" s="624"/>
    </row>
    <row r="10" spans="1:50" ht="20.25" thickTop="1" thickBot="1" x14ac:dyDescent="0.35">
      <c r="A10" s="660"/>
      <c r="B10" s="660"/>
      <c r="C10" s="190" t="s">
        <v>21</v>
      </c>
      <c r="D10" s="186" t="str">
        <f>'1.Conventional'!L11</f>
        <v>SBT*SBL</v>
      </c>
      <c r="E10" s="187">
        <f>'1.Conventional'!M11</f>
        <v>34031250</v>
      </c>
      <c r="F10" s="662"/>
      <c r="G10" s="655"/>
      <c r="I10" s="652"/>
      <c r="J10" s="652"/>
      <c r="K10" s="190" t="s">
        <v>21</v>
      </c>
      <c r="L10" s="186">
        <f>'1.Conventional'!Q11</f>
        <v>15</v>
      </c>
      <c r="M10" s="186">
        <f>'1.Conventional'!R11</f>
        <v>15</v>
      </c>
      <c r="N10" s="186">
        <f>'1.Conventional'!S11</f>
        <v>10</v>
      </c>
      <c r="O10" s="186">
        <f>'1.Conventional'!T11</f>
        <v>1.3073361412148754</v>
      </c>
      <c r="P10" s="186">
        <f>'1.Conventional'!U11</f>
        <v>3.259682051177461E-7</v>
      </c>
      <c r="Q10" s="186">
        <f>'1.Conventional'!V11</f>
        <v>6.519363039802215E-7</v>
      </c>
      <c r="R10" s="658"/>
      <c r="T10" s="618"/>
      <c r="U10" s="618"/>
      <c r="V10" s="74" t="s">
        <v>21</v>
      </c>
      <c r="W10" s="139" t="str">
        <f>'1.Conventional'!Z11</f>
        <v>D</v>
      </c>
      <c r="X10" s="134" t="str">
        <f>'1.Conventional'!AA11</f>
        <v>Permitted or yield control</v>
      </c>
      <c r="Y10" s="134">
        <f>'1.Conventional'!AB11</f>
        <v>1</v>
      </c>
      <c r="Z10" s="134">
        <f>'1.Conventional'!AC11</f>
        <v>0.5</v>
      </c>
      <c r="AA10" s="134">
        <f>'1.Conventional'!AD11</f>
        <v>1</v>
      </c>
      <c r="AB10" s="134" t="str">
        <f>'1.Conventional'!AE11</f>
        <v>NA</v>
      </c>
      <c r="AC10" s="134">
        <f>'1.Conventional'!AF11</f>
        <v>0</v>
      </c>
      <c r="AD10" s="134">
        <f>'1.Conventional'!AG11</f>
        <v>0</v>
      </c>
      <c r="AE10" s="134" t="str">
        <f>'1.Conventional'!AH11</f>
        <v>NA</v>
      </c>
      <c r="AF10" s="134">
        <f>'1.Conventional'!AI11</f>
        <v>0</v>
      </c>
      <c r="AG10" s="134">
        <f>'1.Conventional'!AJ11</f>
        <v>0</v>
      </c>
      <c r="AH10" s="134">
        <f>'1.Conventional'!AK11</f>
        <v>1</v>
      </c>
      <c r="AI10" s="134" t="str">
        <f>'1.Conventional'!AL11</f>
        <v>NA</v>
      </c>
      <c r="AJ10" s="134">
        <f>'1.Conventional'!AM11</f>
        <v>1</v>
      </c>
      <c r="AK10" s="140">
        <f>'1.Conventional'!AN11</f>
        <v>1</v>
      </c>
      <c r="AL10" s="634"/>
      <c r="AN10" s="618"/>
      <c r="AO10" s="618"/>
      <c r="AP10" s="117" t="s">
        <v>21</v>
      </c>
      <c r="AQ10" s="157">
        <f>'1.Conventional'!AR11</f>
        <v>34031250</v>
      </c>
      <c r="AR10" s="158">
        <f>'1.Conventional'!AS11</f>
        <v>6.519363039802215E-7</v>
      </c>
      <c r="AS10" s="116">
        <f>'1.Conventional'!AT11</f>
        <v>1</v>
      </c>
      <c r="AT10" s="116">
        <f>'1.Conventional'!AU11</f>
        <v>1</v>
      </c>
      <c r="AU10" s="6">
        <f>'1.Conventional'!AV11</f>
        <v>22.186207344826911</v>
      </c>
      <c r="AV10" s="621"/>
      <c r="AW10" s="621"/>
      <c r="AX10" s="624"/>
    </row>
    <row r="11" spans="1:50" ht="20.25" thickTop="1" thickBot="1" x14ac:dyDescent="0.35">
      <c r="A11" s="660"/>
      <c r="B11" s="660"/>
      <c r="C11" s="190" t="s">
        <v>29</v>
      </c>
      <c r="D11" s="186" t="str">
        <f>'1.Conventional'!L12</f>
        <v>EBR*(EBT+EBL)</v>
      </c>
      <c r="E11" s="187">
        <f>'1.Conventional'!M12</f>
        <v>198046875</v>
      </c>
      <c r="F11" s="662"/>
      <c r="G11" s="655"/>
      <c r="I11" s="652"/>
      <c r="J11" s="652"/>
      <c r="K11" s="190" t="s">
        <v>29</v>
      </c>
      <c r="L11" s="186">
        <f>'1.Conventional'!Q12</f>
        <v>45</v>
      </c>
      <c r="M11" s="186">
        <f>'1.Conventional'!R12</f>
        <v>15</v>
      </c>
      <c r="N11" s="186">
        <f>'1.Conventional'!S12</f>
        <v>10</v>
      </c>
      <c r="O11" s="186">
        <f>'1.Conventional'!T12</f>
        <v>15.169950011729762</v>
      </c>
      <c r="P11" s="186">
        <f>'1.Conventional'!U12</f>
        <v>3.5318107578168117E-3</v>
      </c>
      <c r="Q11" s="186">
        <f>'1.Conventional'!V12</f>
        <v>7.051147828404593E-3</v>
      </c>
      <c r="R11" s="658"/>
      <c r="T11" s="618"/>
      <c r="U11" s="618"/>
      <c r="V11" s="74" t="s">
        <v>29</v>
      </c>
      <c r="W11" s="139" t="str">
        <f>'1.Conventional'!Z12</f>
        <v>D</v>
      </c>
      <c r="X11" s="134" t="str">
        <f>'1.Conventional'!AA12</f>
        <v>Permitted or yield control</v>
      </c>
      <c r="Y11" s="134">
        <f>'1.Conventional'!AB12</f>
        <v>1</v>
      </c>
      <c r="Z11" s="134">
        <f>'1.Conventional'!AC12</f>
        <v>0.5</v>
      </c>
      <c r="AA11" s="134">
        <f>'1.Conventional'!AD12</f>
        <v>1</v>
      </c>
      <c r="AB11" s="134" t="str">
        <f>'1.Conventional'!AE12</f>
        <v>NA</v>
      </c>
      <c r="AC11" s="134">
        <f>'1.Conventional'!AF12</f>
        <v>0</v>
      </c>
      <c r="AD11" s="134">
        <f>'1.Conventional'!AG12</f>
        <v>0</v>
      </c>
      <c r="AE11" s="134" t="str">
        <f>'1.Conventional'!AH12</f>
        <v>NA</v>
      </c>
      <c r="AF11" s="134">
        <f>'1.Conventional'!AI12</f>
        <v>0</v>
      </c>
      <c r="AG11" s="134">
        <f>'1.Conventional'!AJ12</f>
        <v>0</v>
      </c>
      <c r="AH11" s="134">
        <f>'1.Conventional'!AK12</f>
        <v>1</v>
      </c>
      <c r="AI11" s="134" t="str">
        <f>'1.Conventional'!AL12</f>
        <v>NA</v>
      </c>
      <c r="AJ11" s="134">
        <f>'1.Conventional'!AM12</f>
        <v>1</v>
      </c>
      <c r="AK11" s="140">
        <f>'1.Conventional'!AN12</f>
        <v>1</v>
      </c>
      <c r="AL11" s="634"/>
      <c r="AN11" s="618"/>
      <c r="AO11" s="618"/>
      <c r="AP11" s="117" t="s">
        <v>29</v>
      </c>
      <c r="AQ11" s="157">
        <f>'1.Conventional'!AR12</f>
        <v>198046875</v>
      </c>
      <c r="AR11" s="158">
        <f>'1.Conventional'!AS12</f>
        <v>7.051147828404593E-3</v>
      </c>
      <c r="AS11" s="116">
        <f>'1.Conventional'!AT12</f>
        <v>1</v>
      </c>
      <c r="AT11" s="116">
        <f>'1.Conventional'!AU12</f>
        <v>1</v>
      </c>
      <c r="AU11" s="6">
        <f>'1.Conventional'!AV12</f>
        <v>1396457.7925785659</v>
      </c>
      <c r="AV11" s="621"/>
      <c r="AW11" s="621"/>
      <c r="AX11" s="624"/>
    </row>
    <row r="12" spans="1:50" ht="20.25" thickTop="1" thickBot="1" x14ac:dyDescent="0.35">
      <c r="A12" s="660"/>
      <c r="B12" s="660"/>
      <c r="C12" s="191" t="s">
        <v>30</v>
      </c>
      <c r="D12" s="192" t="str">
        <f>'1.Conventional'!L13</f>
        <v>EBT*EBL</v>
      </c>
      <c r="E12" s="193">
        <f>'1.Conventional'!M13</f>
        <v>132031250</v>
      </c>
      <c r="F12" s="663"/>
      <c r="G12" s="656"/>
      <c r="I12" s="652"/>
      <c r="J12" s="652"/>
      <c r="K12" s="191" t="s">
        <v>30</v>
      </c>
      <c r="L12" s="192">
        <f>'1.Conventional'!Q13</f>
        <v>45</v>
      </c>
      <c r="M12" s="192">
        <f>'1.Conventional'!R13</f>
        <v>20</v>
      </c>
      <c r="N12" s="192">
        <f>'1.Conventional'!S13</f>
        <v>10</v>
      </c>
      <c r="O12" s="192">
        <f>'1.Conventional'!T13</f>
        <v>12.77053292327718</v>
      </c>
      <c r="P12" s="192">
        <f>'1.Conventional'!U13</f>
        <v>1.8390760451277139E-3</v>
      </c>
      <c r="Q12" s="192">
        <f>'1.Conventional'!V13</f>
        <v>3.6747698895556653E-3</v>
      </c>
      <c r="R12" s="659"/>
      <c r="T12" s="618"/>
      <c r="U12" s="618"/>
      <c r="V12" s="75" t="s">
        <v>30</v>
      </c>
      <c r="W12" s="141" t="str">
        <f>'1.Conventional'!Z13</f>
        <v>D</v>
      </c>
      <c r="X12" s="142" t="str">
        <f>'1.Conventional'!AA13</f>
        <v>Permitted or yield control</v>
      </c>
      <c r="Y12" s="142">
        <f>'1.Conventional'!AB13</f>
        <v>1</v>
      </c>
      <c r="Z12" s="142">
        <f>'1.Conventional'!AC13</f>
        <v>0.5</v>
      </c>
      <c r="AA12" s="142">
        <f>'1.Conventional'!AD13</f>
        <v>1</v>
      </c>
      <c r="AB12" s="142" t="str">
        <f>'1.Conventional'!AE13</f>
        <v>NA</v>
      </c>
      <c r="AC12" s="142">
        <f>'1.Conventional'!AF13</f>
        <v>0</v>
      </c>
      <c r="AD12" s="142">
        <f>'1.Conventional'!AG13</f>
        <v>0</v>
      </c>
      <c r="AE12" s="142" t="str">
        <f>'1.Conventional'!AH13</f>
        <v>NA</v>
      </c>
      <c r="AF12" s="142">
        <f>'1.Conventional'!AI13</f>
        <v>0</v>
      </c>
      <c r="AG12" s="142">
        <f>'1.Conventional'!AJ13</f>
        <v>0</v>
      </c>
      <c r="AH12" s="142">
        <f>'1.Conventional'!AK13</f>
        <v>1</v>
      </c>
      <c r="AI12" s="142" t="str">
        <f>'1.Conventional'!AL13</f>
        <v>NA</v>
      </c>
      <c r="AJ12" s="142">
        <f>'1.Conventional'!AM13</f>
        <v>1</v>
      </c>
      <c r="AK12" s="143">
        <f>'1.Conventional'!AN13</f>
        <v>1</v>
      </c>
      <c r="AL12" s="635"/>
      <c r="AN12" s="618"/>
      <c r="AO12" s="618"/>
      <c r="AP12" s="118" t="s">
        <v>30</v>
      </c>
      <c r="AQ12" s="159">
        <f>'1.Conventional'!AR13</f>
        <v>132031250</v>
      </c>
      <c r="AR12" s="160">
        <f>'1.Conventional'!AS13</f>
        <v>3.6747698895556653E-3</v>
      </c>
      <c r="AS12" s="119">
        <f>'1.Conventional'!AT13</f>
        <v>1</v>
      </c>
      <c r="AT12" s="119">
        <f>'1.Conventional'!AU13</f>
        <v>1</v>
      </c>
      <c r="AU12" s="7">
        <f>'1.Conventional'!AV13</f>
        <v>485184.46198039642</v>
      </c>
      <c r="AV12" s="622"/>
      <c r="AW12" s="622"/>
      <c r="AX12" s="624"/>
    </row>
    <row r="13" spans="1:50" ht="20.25" thickTop="1" thickBot="1" x14ac:dyDescent="0.35">
      <c r="A13" s="660"/>
      <c r="B13" s="660"/>
      <c r="C13" s="194" t="s">
        <v>26</v>
      </c>
      <c r="D13" s="182" t="str">
        <f>'1.Conventional'!L14</f>
        <v>EBT*SBL</v>
      </c>
      <c r="E13" s="195">
        <f>'1.Conventional'!M14</f>
        <v>67031250</v>
      </c>
      <c r="F13" s="661">
        <f>SUM(E13:E20)</f>
        <v>702312500</v>
      </c>
      <c r="G13" s="654">
        <f>F13/F13</f>
        <v>1</v>
      </c>
      <c r="I13" s="652"/>
      <c r="J13" s="652"/>
      <c r="K13" s="196" t="s">
        <v>26</v>
      </c>
      <c r="L13" s="182">
        <f>'1.Conventional'!Q14</f>
        <v>45</v>
      </c>
      <c r="M13" s="182">
        <f>'1.Conventional'!R14</f>
        <v>25</v>
      </c>
      <c r="N13" s="182">
        <f>'1.Conventional'!S14</f>
        <v>45</v>
      </c>
      <c r="O13" s="182">
        <f>'1.Conventional'!T14</f>
        <v>16.271214938736659</v>
      </c>
      <c r="P13" s="182">
        <f>'1.Conventional'!U14</f>
        <v>4.6062682901169601E-3</v>
      </c>
      <c r="Q13" s="182">
        <f>'1.Conventional'!V14</f>
        <v>9.1913188726733836E-3</v>
      </c>
      <c r="R13" s="654">
        <f>'1.Conventional'!W14</f>
        <v>6.1337802805268137E-3</v>
      </c>
      <c r="T13" s="618"/>
      <c r="U13" s="618"/>
      <c r="V13" s="76" t="s">
        <v>26</v>
      </c>
      <c r="W13" s="144" t="str">
        <f>'1.Conventional'!Z14</f>
        <v>M</v>
      </c>
      <c r="X13" s="137" t="str">
        <f>'1.Conventional'!AA14</f>
        <v>Protected</v>
      </c>
      <c r="Y13" s="137">
        <f>'1.Conventional'!AB14</f>
        <v>0.01</v>
      </c>
      <c r="Z13" s="137">
        <f>'1.Conventional'!AC14</f>
        <v>0.5</v>
      </c>
      <c r="AA13" s="137">
        <f>'1.Conventional'!AD14</f>
        <v>0.505</v>
      </c>
      <c r="AB13" s="137" t="str">
        <f>'1.Conventional'!AE14</f>
        <v>WBT+NBT</v>
      </c>
      <c r="AC13" s="137">
        <f>'1.Conventional'!AF14</f>
        <v>3</v>
      </c>
      <c r="AD13" s="137">
        <f>'1.Conventional'!AG14</f>
        <v>1</v>
      </c>
      <c r="AE13" s="137" t="str">
        <f>'1.Conventional'!AH14</f>
        <v>EBT</v>
      </c>
      <c r="AF13" s="137">
        <f>'1.Conventional'!AI14</f>
        <v>2</v>
      </c>
      <c r="AG13" s="137">
        <f>'1.Conventional'!AJ14</f>
        <v>1.75</v>
      </c>
      <c r="AH13" s="137">
        <f>'1.Conventional'!AK14</f>
        <v>4.75</v>
      </c>
      <c r="AI13" s="137">
        <f>'1.Conventional'!AL14</f>
        <v>45</v>
      </c>
      <c r="AJ13" s="137">
        <f>'1.Conventional'!AM14</f>
        <v>0.83333333333333326</v>
      </c>
      <c r="AK13" s="138">
        <f>'1.Conventional'!AN14</f>
        <v>1.9989583333333334</v>
      </c>
      <c r="AL13" s="633">
        <f>'1.Conventional'!AO14</f>
        <v>1.5255208333333334</v>
      </c>
      <c r="AN13" s="618"/>
      <c r="AO13" s="618"/>
      <c r="AP13" s="120" t="s">
        <v>26</v>
      </c>
      <c r="AQ13" s="156">
        <f>'1.Conventional'!AR14</f>
        <v>67031250</v>
      </c>
      <c r="AR13" s="133">
        <f>'1.Conventional'!AS14</f>
        <v>9.1913188726733836E-3</v>
      </c>
      <c r="AS13" s="114">
        <f>'1.Conventional'!AT14</f>
        <v>1.9989583333333334</v>
      </c>
      <c r="AT13" s="114">
        <f>'1.Conventional'!AU14</f>
        <v>1</v>
      </c>
      <c r="AU13" s="5">
        <f>'1.Conventional'!AV14</f>
        <v>1231569.4097082091</v>
      </c>
      <c r="AV13" s="620">
        <f>'1.Conventional'!AW14</f>
        <v>4767024.0110772438</v>
      </c>
      <c r="AW13" s="620">
        <f>'1.Conventional'!AX14</f>
        <v>70.612856334436529</v>
      </c>
      <c r="AX13" s="624"/>
    </row>
    <row r="14" spans="1:50" ht="20.25" thickTop="1" thickBot="1" x14ac:dyDescent="0.35">
      <c r="A14" s="660"/>
      <c r="B14" s="660"/>
      <c r="C14" s="197" t="s">
        <v>27</v>
      </c>
      <c r="D14" s="186" t="str">
        <f>'1.Conventional'!L15</f>
        <v>(EBT+SBL)*NBR</v>
      </c>
      <c r="E14" s="187">
        <f>'1.Conventional'!M15</f>
        <v>84046875</v>
      </c>
      <c r="F14" s="662"/>
      <c r="G14" s="655"/>
      <c r="I14" s="652"/>
      <c r="J14" s="652"/>
      <c r="K14" s="197" t="s">
        <v>27</v>
      </c>
      <c r="L14" s="186">
        <f>'1.Conventional'!Q15</f>
        <v>45</v>
      </c>
      <c r="M14" s="186">
        <f>'1.Conventional'!R15</f>
        <v>15</v>
      </c>
      <c r="N14" s="186">
        <f>'1.Conventional'!S15</f>
        <v>45</v>
      </c>
      <c r="O14" s="186">
        <f>'1.Conventional'!T15</f>
        <v>17.995873453365363</v>
      </c>
      <c r="P14" s="186">
        <f>'1.Conventional'!U15</f>
        <v>6.7479662925189346E-3</v>
      </c>
      <c r="Q14" s="186">
        <f>'1.Conventional'!V15</f>
        <v>1.3450397535952898E-2</v>
      </c>
      <c r="R14" s="655"/>
      <c r="T14" s="618"/>
      <c r="U14" s="618"/>
      <c r="V14" s="77" t="s">
        <v>27</v>
      </c>
      <c r="W14" s="139" t="str">
        <f>'1.Conventional'!Z15</f>
        <v>M</v>
      </c>
      <c r="X14" s="134" t="str">
        <f>'1.Conventional'!AA15</f>
        <v>Protected</v>
      </c>
      <c r="Y14" s="134">
        <f>'1.Conventional'!AB15</f>
        <v>0.01</v>
      </c>
      <c r="Z14" s="134">
        <f>'1.Conventional'!AC15</f>
        <v>0.5</v>
      </c>
      <c r="AA14" s="134">
        <f>'1.Conventional'!AD15</f>
        <v>0.505</v>
      </c>
      <c r="AB14" s="134">
        <f>'1.Conventional'!AE15</f>
        <v>0</v>
      </c>
      <c r="AC14" s="134">
        <f>'1.Conventional'!AF15</f>
        <v>0</v>
      </c>
      <c r="AD14" s="134">
        <f>'1.Conventional'!AG15</f>
        <v>1</v>
      </c>
      <c r="AE14" s="134" t="str">
        <f>'1.Conventional'!AH15</f>
        <v>EBT</v>
      </c>
      <c r="AF14" s="134">
        <f>'1.Conventional'!AI15</f>
        <v>2</v>
      </c>
      <c r="AG14" s="134">
        <f>'1.Conventional'!AJ15</f>
        <v>1.75</v>
      </c>
      <c r="AH14" s="134">
        <f>'1.Conventional'!AK15</f>
        <v>1.75</v>
      </c>
      <c r="AI14" s="134">
        <f>'1.Conventional'!AL15</f>
        <v>45</v>
      </c>
      <c r="AJ14" s="134">
        <f>'1.Conventional'!AM15</f>
        <v>0.83333333333333326</v>
      </c>
      <c r="AK14" s="140">
        <f>'1.Conventional'!AN15</f>
        <v>0.73645833333333333</v>
      </c>
      <c r="AL14" s="634"/>
      <c r="AN14" s="618"/>
      <c r="AO14" s="618"/>
      <c r="AP14" s="121" t="s">
        <v>27</v>
      </c>
      <c r="AQ14" s="157">
        <f>'1.Conventional'!AR15</f>
        <v>84046875</v>
      </c>
      <c r="AR14" s="158">
        <f>'1.Conventional'!AS15</f>
        <v>1.3450397535952898E-2</v>
      </c>
      <c r="AS14" s="116">
        <f>'1.Conventional'!AT15</f>
        <v>0.73645833333333333</v>
      </c>
      <c r="AT14" s="116">
        <f>'1.Conventional'!AU15</f>
        <v>1</v>
      </c>
      <c r="AU14" s="6">
        <f>'1.Conventional'!AV15</f>
        <v>832539.54525626113</v>
      </c>
      <c r="AV14" s="621"/>
      <c r="AW14" s="621"/>
      <c r="AX14" s="624"/>
    </row>
    <row r="15" spans="1:50" ht="20.25" thickTop="1" thickBot="1" x14ac:dyDescent="0.35">
      <c r="A15" s="660"/>
      <c r="B15" s="660"/>
      <c r="C15" s="197" t="s">
        <v>22</v>
      </c>
      <c r="D15" s="186" t="str">
        <f>'1.Conventional'!L16</f>
        <v>NBT*EBL</v>
      </c>
      <c r="E15" s="187">
        <f>'1.Conventional'!M16</f>
        <v>67031250</v>
      </c>
      <c r="F15" s="662"/>
      <c r="G15" s="655"/>
      <c r="I15" s="652"/>
      <c r="J15" s="652"/>
      <c r="K15" s="197" t="s">
        <v>22</v>
      </c>
      <c r="L15" s="186">
        <f>'1.Conventional'!Q16</f>
        <v>20</v>
      </c>
      <c r="M15" s="186">
        <f>'1.Conventional'!R16</f>
        <v>25</v>
      </c>
      <c r="N15" s="186">
        <f>'1.Conventional'!S16</f>
        <v>45</v>
      </c>
      <c r="O15" s="186">
        <f>'1.Conventional'!T16</f>
        <v>8.9147801264732891</v>
      </c>
      <c r="P15" s="186">
        <f>'1.Conventional'!U16</f>
        <v>4.7096302149683109E-4</v>
      </c>
      <c r="Q15" s="186">
        <f>'1.Conventional'!V16</f>
        <v>9.417042368260448E-4</v>
      </c>
      <c r="R15" s="655"/>
      <c r="T15" s="618"/>
      <c r="U15" s="618"/>
      <c r="V15" s="77" t="s">
        <v>22</v>
      </c>
      <c r="W15" s="139" t="str">
        <f>'1.Conventional'!Z16</f>
        <v>M</v>
      </c>
      <c r="X15" s="134" t="str">
        <f>'1.Conventional'!AA16</f>
        <v>Protected</v>
      </c>
      <c r="Y15" s="134">
        <f>'1.Conventional'!AB16</f>
        <v>0.01</v>
      </c>
      <c r="Z15" s="134">
        <f>'1.Conventional'!AC16</f>
        <v>0.5</v>
      </c>
      <c r="AA15" s="134">
        <f>'1.Conventional'!AD16</f>
        <v>0.505</v>
      </c>
      <c r="AB15" s="134" t="str">
        <f>'1.Conventional'!AE16</f>
        <v>EBT+WBT</v>
      </c>
      <c r="AC15" s="134">
        <f>'1.Conventional'!AF16</f>
        <v>4</v>
      </c>
      <c r="AD15" s="134">
        <f>'1.Conventional'!AG16</f>
        <v>0</v>
      </c>
      <c r="AE15" s="134" t="str">
        <f>'1.Conventional'!AH16</f>
        <v>NBT</v>
      </c>
      <c r="AF15" s="134">
        <f>'1.Conventional'!AI16</f>
        <v>1</v>
      </c>
      <c r="AG15" s="134">
        <f>'1.Conventional'!AJ16</f>
        <v>0</v>
      </c>
      <c r="AH15" s="134">
        <f>'1.Conventional'!AK16</f>
        <v>4</v>
      </c>
      <c r="AI15" s="134">
        <f>'1.Conventional'!AL16</f>
        <v>45</v>
      </c>
      <c r="AJ15" s="134">
        <f>'1.Conventional'!AM16</f>
        <v>0.83333333333333326</v>
      </c>
      <c r="AK15" s="140">
        <f>'1.Conventional'!AN16</f>
        <v>1.6833333333333331</v>
      </c>
      <c r="AL15" s="634"/>
      <c r="AN15" s="618"/>
      <c r="AO15" s="618"/>
      <c r="AP15" s="121" t="s">
        <v>22</v>
      </c>
      <c r="AQ15" s="157">
        <f>'1.Conventional'!AR16</f>
        <v>67031250</v>
      </c>
      <c r="AR15" s="158">
        <f>'1.Conventional'!AS16</f>
        <v>9.417042368260448E-4</v>
      </c>
      <c r="AS15" s="116">
        <f>'1.Conventional'!AT16</f>
        <v>1.6833333333333331</v>
      </c>
      <c r="AT15" s="116">
        <f>'1.Conventional'!AU16</f>
        <v>1</v>
      </c>
      <c r="AU15" s="6">
        <f>'1.Conventional'!AV16</f>
        <v>106258.08040998878</v>
      </c>
      <c r="AV15" s="621"/>
      <c r="AW15" s="621"/>
      <c r="AX15" s="624"/>
    </row>
    <row r="16" spans="1:50" ht="20.25" thickTop="1" thickBot="1" x14ac:dyDescent="0.35">
      <c r="A16" s="660"/>
      <c r="B16" s="660"/>
      <c r="C16" s="197" t="s">
        <v>20</v>
      </c>
      <c r="D16" s="186" t="str">
        <f>'1.Conventional'!L17</f>
        <v>(NBT+EBL)*WBR</v>
      </c>
      <c r="E16" s="187">
        <f>'1.Conventional'!M17</f>
        <v>133046875</v>
      </c>
      <c r="F16" s="662"/>
      <c r="G16" s="655"/>
      <c r="I16" s="652"/>
      <c r="J16" s="652"/>
      <c r="K16" s="197" t="s">
        <v>20</v>
      </c>
      <c r="L16" s="186">
        <f>'1.Conventional'!Q17</f>
        <v>15</v>
      </c>
      <c r="M16" s="186">
        <f>'1.Conventional'!R17</f>
        <v>25</v>
      </c>
      <c r="N16" s="186">
        <f>'1.Conventional'!S17</f>
        <v>45</v>
      </c>
      <c r="O16" s="186">
        <f>'1.Conventional'!T17</f>
        <v>8.9396576292116645</v>
      </c>
      <c r="P16" s="186">
        <f>'1.Conventional'!U17</f>
        <v>4.7596350895839364E-4</v>
      </c>
      <c r="Q16" s="186">
        <f>'1.Conventional'!V17</f>
        <v>9.5170047665492732E-4</v>
      </c>
      <c r="R16" s="655"/>
      <c r="T16" s="618"/>
      <c r="U16" s="618"/>
      <c r="V16" s="77" t="s">
        <v>20</v>
      </c>
      <c r="W16" s="139" t="str">
        <f>'1.Conventional'!Z17</f>
        <v>M</v>
      </c>
      <c r="X16" s="134" t="str">
        <f>'1.Conventional'!AA17</f>
        <v>Protected</v>
      </c>
      <c r="Y16" s="134">
        <f>'1.Conventional'!AB17</f>
        <v>0.01</v>
      </c>
      <c r="Z16" s="134">
        <f>'1.Conventional'!AC17</f>
        <v>0.5</v>
      </c>
      <c r="AA16" s="134">
        <f>'1.Conventional'!AD17</f>
        <v>0.505</v>
      </c>
      <c r="AB16" s="134" t="str">
        <f>'1.Conventional'!AE17</f>
        <v>EBT+WBT</v>
      </c>
      <c r="AC16" s="134">
        <f>'1.Conventional'!AF17</f>
        <v>4</v>
      </c>
      <c r="AD16" s="134">
        <f>'1.Conventional'!AG17</f>
        <v>0</v>
      </c>
      <c r="AE16" s="134" t="str">
        <f>'1.Conventional'!AH17</f>
        <v>NBT</v>
      </c>
      <c r="AF16" s="134">
        <f>'1.Conventional'!AI17</f>
        <v>1</v>
      </c>
      <c r="AG16" s="134">
        <f>'1.Conventional'!AJ17</f>
        <v>0</v>
      </c>
      <c r="AH16" s="134">
        <f>'1.Conventional'!AK17</f>
        <v>4</v>
      </c>
      <c r="AI16" s="134">
        <f>'1.Conventional'!AL17</f>
        <v>45</v>
      </c>
      <c r="AJ16" s="134">
        <f>'1.Conventional'!AM17</f>
        <v>0.83333333333333326</v>
      </c>
      <c r="AK16" s="140">
        <f>'1.Conventional'!AN17</f>
        <v>1.6833333333333331</v>
      </c>
      <c r="AL16" s="634"/>
      <c r="AN16" s="618"/>
      <c r="AO16" s="618"/>
      <c r="AP16" s="121" t="s">
        <v>20</v>
      </c>
      <c r="AQ16" s="157">
        <f>'1.Conventional'!AR17</f>
        <v>133046875</v>
      </c>
      <c r="AR16" s="158">
        <f>'1.Conventional'!AS17</f>
        <v>9.5170047665492732E-4</v>
      </c>
      <c r="AS16" s="116">
        <f>'1.Conventional'!AT17</f>
        <v>1.6833333333333331</v>
      </c>
      <c r="AT16" s="116">
        <f>'1.Conventional'!AU17</f>
        <v>1</v>
      </c>
      <c r="AU16" s="6">
        <f>'1.Conventional'!AV17</f>
        <v>213144.97016416333</v>
      </c>
      <c r="AV16" s="621"/>
      <c r="AW16" s="621"/>
      <c r="AX16" s="624"/>
    </row>
    <row r="17" spans="1:50" ht="20.25" thickTop="1" thickBot="1" x14ac:dyDescent="0.35">
      <c r="A17" s="660"/>
      <c r="B17" s="660"/>
      <c r="C17" s="197" t="s">
        <v>28</v>
      </c>
      <c r="D17" s="186" t="str">
        <f>'1.Conventional'!L18</f>
        <v>WBT*NBL</v>
      </c>
      <c r="E17" s="187">
        <f>'1.Conventional'!M18</f>
        <v>67031250</v>
      </c>
      <c r="F17" s="662"/>
      <c r="G17" s="655"/>
      <c r="I17" s="652"/>
      <c r="J17" s="652"/>
      <c r="K17" s="197" t="s">
        <v>28</v>
      </c>
      <c r="L17" s="186">
        <f>'1.Conventional'!Q18</f>
        <v>25</v>
      </c>
      <c r="M17" s="186">
        <f>'1.Conventional'!R18</f>
        <v>45</v>
      </c>
      <c r="N17" s="186">
        <f>'1.Conventional'!S18</f>
        <v>45</v>
      </c>
      <c r="O17" s="186">
        <f>'1.Conventional'!T18</f>
        <v>16.271214938736659</v>
      </c>
      <c r="P17" s="186">
        <f>'1.Conventional'!U18</f>
        <v>4.6062682901169601E-3</v>
      </c>
      <c r="Q17" s="186">
        <f>'1.Conventional'!V18</f>
        <v>9.1913188726733836E-3</v>
      </c>
      <c r="R17" s="655"/>
      <c r="T17" s="618"/>
      <c r="U17" s="618"/>
      <c r="V17" s="77" t="s">
        <v>28</v>
      </c>
      <c r="W17" s="139" t="str">
        <f>'1.Conventional'!Z18</f>
        <v>M</v>
      </c>
      <c r="X17" s="134" t="str">
        <f>'1.Conventional'!AA18</f>
        <v>Protected</v>
      </c>
      <c r="Y17" s="134">
        <f>'1.Conventional'!AB18</f>
        <v>0.01</v>
      </c>
      <c r="Z17" s="134">
        <f>'1.Conventional'!AC18</f>
        <v>0.5</v>
      </c>
      <c r="AA17" s="134">
        <f>'1.Conventional'!AD18</f>
        <v>0.505</v>
      </c>
      <c r="AB17" s="134" t="str">
        <f>'1.Conventional'!AE18</f>
        <v>EBT+SBT</v>
      </c>
      <c r="AC17" s="134">
        <f>'1.Conventional'!AF18</f>
        <v>3</v>
      </c>
      <c r="AD17" s="134">
        <f>'1.Conventional'!AG18</f>
        <v>1</v>
      </c>
      <c r="AE17" s="134" t="str">
        <f>'1.Conventional'!AH18</f>
        <v>WBT</v>
      </c>
      <c r="AF17" s="134">
        <f>'1.Conventional'!AI18</f>
        <v>2</v>
      </c>
      <c r="AG17" s="134">
        <f>'1.Conventional'!AJ18</f>
        <v>1.75</v>
      </c>
      <c r="AH17" s="134">
        <f>'1.Conventional'!AK18</f>
        <v>4.75</v>
      </c>
      <c r="AI17" s="134">
        <f>'1.Conventional'!AL18</f>
        <v>45</v>
      </c>
      <c r="AJ17" s="134">
        <f>'1.Conventional'!AM18</f>
        <v>0.83333333333333326</v>
      </c>
      <c r="AK17" s="140">
        <f>'1.Conventional'!AN18</f>
        <v>1.9989583333333334</v>
      </c>
      <c r="AL17" s="634"/>
      <c r="AN17" s="618"/>
      <c r="AO17" s="618"/>
      <c r="AP17" s="121" t="s">
        <v>28</v>
      </c>
      <c r="AQ17" s="157">
        <f>'1.Conventional'!AR18</f>
        <v>67031250</v>
      </c>
      <c r="AR17" s="158">
        <f>'1.Conventional'!AS18</f>
        <v>9.1913188726733836E-3</v>
      </c>
      <c r="AS17" s="116">
        <f>'1.Conventional'!AT18</f>
        <v>1.9989583333333334</v>
      </c>
      <c r="AT17" s="116">
        <f>'1.Conventional'!AU18</f>
        <v>1</v>
      </c>
      <c r="AU17" s="6">
        <f>'1.Conventional'!AV18</f>
        <v>1231569.4097082091</v>
      </c>
      <c r="AV17" s="621"/>
      <c r="AW17" s="621"/>
      <c r="AX17" s="624"/>
    </row>
    <row r="18" spans="1:50" ht="20.25" thickTop="1" thickBot="1" x14ac:dyDescent="0.35">
      <c r="A18" s="660"/>
      <c r="B18" s="660"/>
      <c r="C18" s="197" t="s">
        <v>21</v>
      </c>
      <c r="D18" s="186" t="str">
        <f>'1.Conventional'!L19</f>
        <v>(WBT+NBL)*SBR</v>
      </c>
      <c r="E18" s="187">
        <f>'1.Conventional'!M19</f>
        <v>84046875</v>
      </c>
      <c r="F18" s="662"/>
      <c r="G18" s="655"/>
      <c r="I18" s="652"/>
      <c r="J18" s="652"/>
      <c r="K18" s="197" t="s">
        <v>21</v>
      </c>
      <c r="L18" s="186">
        <f>'1.Conventional'!Q19</f>
        <v>45</v>
      </c>
      <c r="M18" s="186">
        <f>'1.Conventional'!R19</f>
        <v>15</v>
      </c>
      <c r="N18" s="186">
        <f>'1.Conventional'!S19</f>
        <v>45</v>
      </c>
      <c r="O18" s="186">
        <f>'1.Conventional'!T19</f>
        <v>17.995873453365363</v>
      </c>
      <c r="P18" s="186">
        <f>'1.Conventional'!U19</f>
        <v>6.7479662925189346E-3</v>
      </c>
      <c r="Q18" s="186">
        <f>'1.Conventional'!V19</f>
        <v>1.3450397535952898E-2</v>
      </c>
      <c r="R18" s="655"/>
      <c r="T18" s="618"/>
      <c r="U18" s="618"/>
      <c r="V18" s="77" t="s">
        <v>21</v>
      </c>
      <c r="W18" s="139" t="str">
        <f>'1.Conventional'!Z19</f>
        <v>M</v>
      </c>
      <c r="X18" s="134" t="str">
        <f>'1.Conventional'!AA19</f>
        <v>Protected</v>
      </c>
      <c r="Y18" s="134">
        <f>'1.Conventional'!AB19</f>
        <v>0.01</v>
      </c>
      <c r="Z18" s="134">
        <f>'1.Conventional'!AC19</f>
        <v>0.5</v>
      </c>
      <c r="AA18" s="134">
        <f>'1.Conventional'!AD19</f>
        <v>0.505</v>
      </c>
      <c r="AB18" s="134">
        <f>'1.Conventional'!AE19</f>
        <v>0</v>
      </c>
      <c r="AC18" s="134">
        <f>'1.Conventional'!AF19</f>
        <v>0</v>
      </c>
      <c r="AD18" s="134">
        <f>'1.Conventional'!AG19</f>
        <v>1</v>
      </c>
      <c r="AE18" s="134" t="str">
        <f>'1.Conventional'!AH19</f>
        <v>WBT</v>
      </c>
      <c r="AF18" s="134">
        <f>'1.Conventional'!AI19</f>
        <v>2</v>
      </c>
      <c r="AG18" s="134">
        <f>'1.Conventional'!AJ19</f>
        <v>1.75</v>
      </c>
      <c r="AH18" s="134">
        <f>'1.Conventional'!AK19</f>
        <v>1.75</v>
      </c>
      <c r="AI18" s="134">
        <f>'1.Conventional'!AL19</f>
        <v>45</v>
      </c>
      <c r="AJ18" s="134">
        <f>'1.Conventional'!AM19</f>
        <v>0.83333333333333326</v>
      </c>
      <c r="AK18" s="140">
        <f>'1.Conventional'!AN19</f>
        <v>0.73645833333333333</v>
      </c>
      <c r="AL18" s="634"/>
      <c r="AN18" s="618"/>
      <c r="AO18" s="618"/>
      <c r="AP18" s="121" t="s">
        <v>21</v>
      </c>
      <c r="AQ18" s="157">
        <f>'1.Conventional'!AR19</f>
        <v>84046875</v>
      </c>
      <c r="AR18" s="158">
        <f>'1.Conventional'!AS19</f>
        <v>1.3450397535952898E-2</v>
      </c>
      <c r="AS18" s="116">
        <f>'1.Conventional'!AT19</f>
        <v>0.73645833333333333</v>
      </c>
      <c r="AT18" s="116">
        <f>'1.Conventional'!AU19</f>
        <v>1</v>
      </c>
      <c r="AU18" s="6">
        <f>'1.Conventional'!AV19</f>
        <v>832539.54525626113</v>
      </c>
      <c r="AV18" s="621"/>
      <c r="AW18" s="621"/>
      <c r="AX18" s="624"/>
    </row>
    <row r="19" spans="1:50" ht="20.25" thickTop="1" thickBot="1" x14ac:dyDescent="0.35">
      <c r="A19" s="660"/>
      <c r="B19" s="660"/>
      <c r="C19" s="197" t="s">
        <v>29</v>
      </c>
      <c r="D19" s="186" t="str">
        <f>'1.Conventional'!L20</f>
        <v>SBT*WBL</v>
      </c>
      <c r="E19" s="187">
        <f>'1.Conventional'!M20</f>
        <v>67031250</v>
      </c>
      <c r="F19" s="662"/>
      <c r="G19" s="655"/>
      <c r="I19" s="652"/>
      <c r="J19" s="652"/>
      <c r="K19" s="197" t="s">
        <v>29</v>
      </c>
      <c r="L19" s="186">
        <f>'1.Conventional'!Q20</f>
        <v>20</v>
      </c>
      <c r="M19" s="186">
        <f>'1.Conventional'!R20</f>
        <v>25</v>
      </c>
      <c r="N19" s="186">
        <f>'1.Conventional'!S20</f>
        <v>45</v>
      </c>
      <c r="O19" s="186">
        <f>'1.Conventional'!T20</f>
        <v>8.9147801264732891</v>
      </c>
      <c r="P19" s="186">
        <f>'1.Conventional'!U20</f>
        <v>4.7096302149683109E-4</v>
      </c>
      <c r="Q19" s="186">
        <f>'1.Conventional'!V20</f>
        <v>9.417042368260448E-4</v>
      </c>
      <c r="R19" s="655"/>
      <c r="T19" s="618"/>
      <c r="U19" s="618"/>
      <c r="V19" s="77" t="s">
        <v>29</v>
      </c>
      <c r="W19" s="139" t="str">
        <f>'1.Conventional'!Z20</f>
        <v>M</v>
      </c>
      <c r="X19" s="134" t="str">
        <f>'1.Conventional'!AA20</f>
        <v>Protected</v>
      </c>
      <c r="Y19" s="134">
        <f>'1.Conventional'!AB20</f>
        <v>0.01</v>
      </c>
      <c r="Z19" s="134">
        <f>'1.Conventional'!AC20</f>
        <v>0.5</v>
      </c>
      <c r="AA19" s="134">
        <f>'1.Conventional'!AD20</f>
        <v>0.505</v>
      </c>
      <c r="AB19" s="134" t="str">
        <f>'1.Conventional'!AE20</f>
        <v>WBT+EBT</v>
      </c>
      <c r="AC19" s="134">
        <f>'1.Conventional'!AF20</f>
        <v>4</v>
      </c>
      <c r="AD19" s="134">
        <f>'1.Conventional'!AG20</f>
        <v>0</v>
      </c>
      <c r="AE19" s="134" t="str">
        <f>'1.Conventional'!AH20</f>
        <v>SBT</v>
      </c>
      <c r="AF19" s="134">
        <f>'1.Conventional'!AI20</f>
        <v>1</v>
      </c>
      <c r="AG19" s="134">
        <f>'1.Conventional'!AJ20</f>
        <v>0</v>
      </c>
      <c r="AH19" s="134">
        <f>'1.Conventional'!AK20</f>
        <v>4</v>
      </c>
      <c r="AI19" s="134">
        <f>'1.Conventional'!AL20</f>
        <v>45</v>
      </c>
      <c r="AJ19" s="134">
        <f>'1.Conventional'!AM20</f>
        <v>0.83333333333333326</v>
      </c>
      <c r="AK19" s="140">
        <f>'1.Conventional'!AN20</f>
        <v>1.6833333333333331</v>
      </c>
      <c r="AL19" s="634"/>
      <c r="AN19" s="618"/>
      <c r="AO19" s="618"/>
      <c r="AP19" s="121" t="s">
        <v>29</v>
      </c>
      <c r="AQ19" s="157">
        <f>'1.Conventional'!AR20</f>
        <v>67031250</v>
      </c>
      <c r="AR19" s="158">
        <f>'1.Conventional'!AS20</f>
        <v>9.417042368260448E-4</v>
      </c>
      <c r="AS19" s="116">
        <f>'1.Conventional'!AT20</f>
        <v>1.6833333333333331</v>
      </c>
      <c r="AT19" s="116">
        <f>'1.Conventional'!AU20</f>
        <v>1</v>
      </c>
      <c r="AU19" s="6">
        <f>'1.Conventional'!AV20</f>
        <v>106258.08040998878</v>
      </c>
      <c r="AV19" s="621"/>
      <c r="AW19" s="621"/>
      <c r="AX19" s="624"/>
    </row>
    <row r="20" spans="1:50" ht="20.25" thickTop="1" thickBot="1" x14ac:dyDescent="0.35">
      <c r="A20" s="660"/>
      <c r="B20" s="660"/>
      <c r="C20" s="198" t="s">
        <v>30</v>
      </c>
      <c r="D20" s="192" t="str">
        <f>'1.Conventional'!L21</f>
        <v>EBR*(SBT+WBL)</v>
      </c>
      <c r="E20" s="193">
        <f>'1.Conventional'!M21</f>
        <v>133046875</v>
      </c>
      <c r="F20" s="663"/>
      <c r="G20" s="656"/>
      <c r="I20" s="652"/>
      <c r="J20" s="652"/>
      <c r="K20" s="198" t="s">
        <v>30</v>
      </c>
      <c r="L20" s="192">
        <f>'1.Conventional'!Q21</f>
        <v>15</v>
      </c>
      <c r="M20" s="192">
        <f>'1.Conventional'!R21</f>
        <v>25</v>
      </c>
      <c r="N20" s="192">
        <f>'1.Conventional'!S21</f>
        <v>45</v>
      </c>
      <c r="O20" s="192">
        <f>'1.Conventional'!T21</f>
        <v>8.9396576292116645</v>
      </c>
      <c r="P20" s="192">
        <f>'1.Conventional'!U21</f>
        <v>4.7596350895839364E-4</v>
      </c>
      <c r="Q20" s="192">
        <f>'1.Conventional'!V21</f>
        <v>9.5170047665492732E-4</v>
      </c>
      <c r="R20" s="656"/>
      <c r="T20" s="618"/>
      <c r="U20" s="618"/>
      <c r="V20" s="78" t="s">
        <v>30</v>
      </c>
      <c r="W20" s="145" t="str">
        <f>'1.Conventional'!Z21</f>
        <v>M</v>
      </c>
      <c r="X20" s="142" t="str">
        <f>'1.Conventional'!AA21</f>
        <v>Protected</v>
      </c>
      <c r="Y20" s="142">
        <f>'1.Conventional'!AB21</f>
        <v>0.01</v>
      </c>
      <c r="Z20" s="142">
        <f>'1.Conventional'!AC21</f>
        <v>0.5</v>
      </c>
      <c r="AA20" s="142">
        <f>'1.Conventional'!AD21</f>
        <v>0.505</v>
      </c>
      <c r="AB20" s="142" t="str">
        <f>'1.Conventional'!AE21</f>
        <v>WBT+EBT</v>
      </c>
      <c r="AC20" s="142">
        <f>'1.Conventional'!AF21</f>
        <v>4</v>
      </c>
      <c r="AD20" s="142">
        <f>'1.Conventional'!AG21</f>
        <v>0</v>
      </c>
      <c r="AE20" s="142" t="str">
        <f>'1.Conventional'!AH21</f>
        <v>SBT</v>
      </c>
      <c r="AF20" s="142">
        <f>'1.Conventional'!AI21</f>
        <v>1</v>
      </c>
      <c r="AG20" s="142">
        <f>'1.Conventional'!AJ21</f>
        <v>0</v>
      </c>
      <c r="AH20" s="142">
        <f>'1.Conventional'!AK21</f>
        <v>4</v>
      </c>
      <c r="AI20" s="142">
        <f>'1.Conventional'!AL21</f>
        <v>45</v>
      </c>
      <c r="AJ20" s="142">
        <f>'1.Conventional'!AM21</f>
        <v>0.83333333333333326</v>
      </c>
      <c r="AK20" s="143">
        <f>'1.Conventional'!AN21</f>
        <v>1.6833333333333331</v>
      </c>
      <c r="AL20" s="635"/>
      <c r="AN20" s="618"/>
      <c r="AO20" s="618"/>
      <c r="AP20" s="122" t="s">
        <v>30</v>
      </c>
      <c r="AQ20" s="159">
        <f>'1.Conventional'!AR21</f>
        <v>133046875</v>
      </c>
      <c r="AR20" s="160">
        <f>'1.Conventional'!AS21</f>
        <v>9.5170047665492732E-4</v>
      </c>
      <c r="AS20" s="119">
        <f>'1.Conventional'!AT21</f>
        <v>1.6833333333333331</v>
      </c>
      <c r="AT20" s="119">
        <f>'1.Conventional'!AU21</f>
        <v>1</v>
      </c>
      <c r="AU20" s="7">
        <f>'1.Conventional'!AV21</f>
        <v>213144.97016416333</v>
      </c>
      <c r="AV20" s="622"/>
      <c r="AW20" s="622"/>
      <c r="AX20" s="624"/>
    </row>
    <row r="21" spans="1:50" ht="20.25" thickTop="1" thickBot="1" x14ac:dyDescent="0.35">
      <c r="A21" s="660"/>
      <c r="B21" s="660"/>
      <c r="C21" s="199" t="s">
        <v>26</v>
      </c>
      <c r="D21" s="182" t="str">
        <f>'1.Conventional'!L22</f>
        <v>NBT*EBT</v>
      </c>
      <c r="E21" s="195">
        <f>'1.Conventional'!M22</f>
        <v>134062500</v>
      </c>
      <c r="F21" s="661">
        <f>SUM(E21:E36)</f>
        <v>1270562500</v>
      </c>
      <c r="G21" s="654">
        <f>F21/F21</f>
        <v>1</v>
      </c>
      <c r="I21" s="652"/>
      <c r="J21" s="652"/>
      <c r="K21" s="200" t="s">
        <v>26</v>
      </c>
      <c r="L21" s="201">
        <f>'1.Conventional'!Q22</f>
        <v>45</v>
      </c>
      <c r="M21" s="201">
        <f>'1.Conventional'!R22</f>
        <v>15</v>
      </c>
      <c r="N21" s="201">
        <f>'1.Conventional'!S22</f>
        <v>90</v>
      </c>
      <c r="O21" s="201">
        <f>'1.Conventional'!T22</f>
        <v>23.717082451262844</v>
      </c>
      <c r="P21" s="201">
        <f>'1.Conventional'!U22</f>
        <v>1.9210987348136588E-2</v>
      </c>
      <c r="Q21" s="201">
        <f>'1.Conventional'!V22</f>
        <v>3.8052912661382915E-2</v>
      </c>
      <c r="R21" s="654">
        <f>'1.Conventional'!W22</f>
        <v>3.7879772717812232E-2</v>
      </c>
      <c r="T21" s="618"/>
      <c r="U21" s="618"/>
      <c r="V21" s="86" t="s">
        <v>26</v>
      </c>
      <c r="W21" s="146" t="str">
        <f>'1.Conventional'!Z22</f>
        <v>C</v>
      </c>
      <c r="X21" s="137" t="str">
        <f>'1.Conventional'!AA22</f>
        <v xml:space="preserve">Protected </v>
      </c>
      <c r="Y21" s="137">
        <f>'1.Conventional'!AB22</f>
        <v>0.01</v>
      </c>
      <c r="Z21" s="137">
        <f>'1.Conventional'!AC22</f>
        <v>0.5</v>
      </c>
      <c r="AA21" s="137">
        <f>'1.Conventional'!AD22</f>
        <v>0.505</v>
      </c>
      <c r="AB21" s="137" t="str">
        <f>'1.Conventional'!AE22</f>
        <v>EBT+WBT</v>
      </c>
      <c r="AC21" s="137">
        <f>'1.Conventional'!AF22</f>
        <v>4</v>
      </c>
      <c r="AD21" s="137">
        <f>'1.Conventional'!AG22</f>
        <v>0</v>
      </c>
      <c r="AE21" s="137" t="str">
        <f>'1.Conventional'!AH22</f>
        <v>NBT</v>
      </c>
      <c r="AF21" s="137">
        <f>'1.Conventional'!AI22</f>
        <v>1</v>
      </c>
      <c r="AG21" s="137">
        <f>'1.Conventional'!AJ22</f>
        <v>0</v>
      </c>
      <c r="AH21" s="137">
        <f>'1.Conventional'!AK22</f>
        <v>4</v>
      </c>
      <c r="AI21" s="137">
        <f>'1.Conventional'!AL22</f>
        <v>45</v>
      </c>
      <c r="AJ21" s="137">
        <f>'1.Conventional'!AM22</f>
        <v>0.83333333333333326</v>
      </c>
      <c r="AK21" s="138">
        <f>'1.Conventional'!AN22</f>
        <v>1.6833333333333331</v>
      </c>
      <c r="AL21" s="633">
        <f>'1.Conventional'!AO22</f>
        <v>1.65703125</v>
      </c>
      <c r="AN21" s="618"/>
      <c r="AO21" s="618"/>
      <c r="AP21" s="130" t="s">
        <v>26</v>
      </c>
      <c r="AQ21" s="156">
        <f>'1.Conventional'!AR22</f>
        <v>134062500</v>
      </c>
      <c r="AR21" s="133">
        <f>'1.Conventional'!AS22</f>
        <v>3.8052912661382915E-2</v>
      </c>
      <c r="AS21" s="114">
        <f>'1.Conventional'!AT22</f>
        <v>1.6833333333333331</v>
      </c>
      <c r="AT21" s="114">
        <f>'1.Conventional'!AU22</f>
        <v>1</v>
      </c>
      <c r="AU21" s="5">
        <f>'1.Conventional'!AV22</f>
        <v>8587472.1495055221</v>
      </c>
      <c r="AV21" s="620">
        <f>'1.Conventional'!AW22</f>
        <v>105916106.98264952</v>
      </c>
      <c r="AW21" s="620">
        <f>'1.Conventional'!AX22</f>
        <v>4.3895980938169862E-2</v>
      </c>
      <c r="AX21" s="624"/>
    </row>
    <row r="22" spans="1:50" ht="20.25" thickTop="1" thickBot="1" x14ac:dyDescent="0.35">
      <c r="A22" s="660"/>
      <c r="B22" s="660"/>
      <c r="C22" s="202" t="s">
        <v>27</v>
      </c>
      <c r="D22" s="186" t="str">
        <f>'1.Conventional'!L23</f>
        <v>WBT*NBT</v>
      </c>
      <c r="E22" s="187">
        <f>'1.Conventional'!M23</f>
        <v>134062500</v>
      </c>
      <c r="F22" s="662"/>
      <c r="G22" s="655"/>
      <c r="I22" s="652"/>
      <c r="J22" s="652"/>
      <c r="K22" s="203" t="s">
        <v>27</v>
      </c>
      <c r="L22" s="186">
        <f>'1.Conventional'!Q23</f>
        <v>45</v>
      </c>
      <c r="M22" s="186">
        <f>'1.Conventional'!R23</f>
        <v>25</v>
      </c>
      <c r="N22" s="186">
        <f>'1.Conventional'!S23</f>
        <v>90</v>
      </c>
      <c r="O22" s="186">
        <f>'1.Conventional'!T23</f>
        <v>25.739075352467502</v>
      </c>
      <c r="P22" s="186">
        <f>'1.Conventional'!U23</f>
        <v>2.6194779393934508E-2</v>
      </c>
      <c r="Q22" s="186">
        <f>'1.Conventional'!V23</f>
        <v>5.1703392320372119E-2</v>
      </c>
      <c r="R22" s="655"/>
      <c r="T22" s="618"/>
      <c r="U22" s="618"/>
      <c r="V22" s="87" t="s">
        <v>27</v>
      </c>
      <c r="W22" s="139" t="str">
        <f>'1.Conventional'!Z23</f>
        <v>C</v>
      </c>
      <c r="X22" s="134" t="str">
        <f>'1.Conventional'!AA23</f>
        <v xml:space="preserve">Protected </v>
      </c>
      <c r="Y22" s="134">
        <f>'1.Conventional'!AB23</f>
        <v>0.01</v>
      </c>
      <c r="Z22" s="134">
        <f>'1.Conventional'!AC23</f>
        <v>0.5</v>
      </c>
      <c r="AA22" s="134">
        <f>'1.Conventional'!AD23</f>
        <v>0.505</v>
      </c>
      <c r="AB22" s="134" t="str">
        <f>'1.Conventional'!AE23</f>
        <v>EBT+WBT</v>
      </c>
      <c r="AC22" s="134">
        <f>'1.Conventional'!AF23</f>
        <v>4</v>
      </c>
      <c r="AD22" s="134">
        <f>'1.Conventional'!AG23</f>
        <v>0</v>
      </c>
      <c r="AE22" s="134" t="str">
        <f>'1.Conventional'!AH23</f>
        <v>NBT</v>
      </c>
      <c r="AF22" s="134">
        <f>'1.Conventional'!AI23</f>
        <v>1</v>
      </c>
      <c r="AG22" s="134">
        <f>'1.Conventional'!AJ23</f>
        <v>0</v>
      </c>
      <c r="AH22" s="134">
        <f>'1.Conventional'!AK23</f>
        <v>4</v>
      </c>
      <c r="AI22" s="134">
        <f>'1.Conventional'!AL23</f>
        <v>45</v>
      </c>
      <c r="AJ22" s="134">
        <f>'1.Conventional'!AM23</f>
        <v>0.83333333333333326</v>
      </c>
      <c r="AK22" s="140">
        <f>'1.Conventional'!AN23</f>
        <v>1.6833333333333331</v>
      </c>
      <c r="AL22" s="634"/>
      <c r="AN22" s="618"/>
      <c r="AO22" s="618"/>
      <c r="AP22" s="131" t="s">
        <v>27</v>
      </c>
      <c r="AQ22" s="157">
        <f>'1.Conventional'!AR23</f>
        <v>134062500</v>
      </c>
      <c r="AR22" s="158">
        <f>'1.Conventional'!AS23</f>
        <v>5.1703392320372119E-2</v>
      </c>
      <c r="AS22" s="116">
        <f>'1.Conventional'!AT23</f>
        <v>1.6833333333333331</v>
      </c>
      <c r="AT22" s="116">
        <f>'1.Conventional'!AU23</f>
        <v>1</v>
      </c>
      <c r="AU22" s="6">
        <f>'1.Conventional'!AV23</f>
        <v>11668001.488798976</v>
      </c>
      <c r="AV22" s="621"/>
      <c r="AW22" s="621"/>
      <c r="AX22" s="624"/>
    </row>
    <row r="23" spans="1:50" ht="20.25" thickTop="1" thickBot="1" x14ac:dyDescent="0.35">
      <c r="A23" s="660"/>
      <c r="B23" s="660"/>
      <c r="C23" s="202" t="s">
        <v>22</v>
      </c>
      <c r="D23" s="186" t="str">
        <f>'1.Conventional'!L24</f>
        <v>WBT*SBT</v>
      </c>
      <c r="E23" s="187">
        <f>'1.Conventional'!M24</f>
        <v>134062500</v>
      </c>
      <c r="F23" s="662"/>
      <c r="G23" s="655"/>
      <c r="I23" s="652"/>
      <c r="J23" s="652"/>
      <c r="K23" s="203" t="s">
        <v>22</v>
      </c>
      <c r="L23" s="186">
        <f>'1.Conventional'!Q24</f>
        <v>45</v>
      </c>
      <c r="M23" s="186">
        <f>'1.Conventional'!R24</f>
        <v>15</v>
      </c>
      <c r="N23" s="186">
        <f>'1.Conventional'!S24</f>
        <v>90</v>
      </c>
      <c r="O23" s="186">
        <f>'1.Conventional'!T24</f>
        <v>23.717082451262844</v>
      </c>
      <c r="P23" s="186">
        <f>'1.Conventional'!U24</f>
        <v>1.9210987348136588E-2</v>
      </c>
      <c r="Q23" s="186">
        <f>'1.Conventional'!V24</f>
        <v>3.8052912661382915E-2</v>
      </c>
      <c r="R23" s="655"/>
      <c r="T23" s="618"/>
      <c r="U23" s="618"/>
      <c r="V23" s="87" t="s">
        <v>22</v>
      </c>
      <c r="W23" s="139" t="str">
        <f>'1.Conventional'!Z24</f>
        <v>C</v>
      </c>
      <c r="X23" s="134" t="str">
        <f>'1.Conventional'!AA24</f>
        <v xml:space="preserve">Protected </v>
      </c>
      <c r="Y23" s="134">
        <f>'1.Conventional'!AB24</f>
        <v>0.01</v>
      </c>
      <c r="Z23" s="134">
        <f>'1.Conventional'!AC24</f>
        <v>0.5</v>
      </c>
      <c r="AA23" s="134">
        <f>'1.Conventional'!AD24</f>
        <v>0.505</v>
      </c>
      <c r="AB23" s="134" t="str">
        <f>'1.Conventional'!AE24</f>
        <v>WBT+EBT</v>
      </c>
      <c r="AC23" s="134">
        <f>'1.Conventional'!AF24</f>
        <v>4</v>
      </c>
      <c r="AD23" s="134">
        <f>'1.Conventional'!AG24</f>
        <v>0</v>
      </c>
      <c r="AE23" s="134" t="str">
        <f>'1.Conventional'!AH24</f>
        <v>SBT</v>
      </c>
      <c r="AF23" s="134">
        <f>'1.Conventional'!AI24</f>
        <v>1</v>
      </c>
      <c r="AG23" s="134">
        <f>'1.Conventional'!AJ24</f>
        <v>0</v>
      </c>
      <c r="AH23" s="134">
        <f>'1.Conventional'!AK24</f>
        <v>4</v>
      </c>
      <c r="AI23" s="134">
        <f>'1.Conventional'!AL24</f>
        <v>45</v>
      </c>
      <c r="AJ23" s="134">
        <f>'1.Conventional'!AM24</f>
        <v>0.83333333333333326</v>
      </c>
      <c r="AK23" s="140">
        <f>'1.Conventional'!AN24</f>
        <v>1.6833333333333331</v>
      </c>
      <c r="AL23" s="634"/>
      <c r="AN23" s="618"/>
      <c r="AO23" s="618"/>
      <c r="AP23" s="131" t="s">
        <v>22</v>
      </c>
      <c r="AQ23" s="157">
        <f>'1.Conventional'!AR24</f>
        <v>134062500</v>
      </c>
      <c r="AR23" s="158">
        <f>'1.Conventional'!AS24</f>
        <v>3.8052912661382915E-2</v>
      </c>
      <c r="AS23" s="116">
        <f>'1.Conventional'!AT24</f>
        <v>1.6833333333333331</v>
      </c>
      <c r="AT23" s="116">
        <f>'1.Conventional'!AU24</f>
        <v>1</v>
      </c>
      <c r="AU23" s="6">
        <f>'1.Conventional'!AV24</f>
        <v>8587472.1495055221</v>
      </c>
      <c r="AV23" s="621"/>
      <c r="AW23" s="621"/>
      <c r="AX23" s="624"/>
    </row>
    <row r="24" spans="1:50" ht="20.25" thickTop="1" thickBot="1" x14ac:dyDescent="0.35">
      <c r="A24" s="660"/>
      <c r="B24" s="660"/>
      <c r="C24" s="202" t="s">
        <v>20</v>
      </c>
      <c r="D24" s="186" t="str">
        <f>'1.Conventional'!L25</f>
        <v>WBT*SBT</v>
      </c>
      <c r="E24" s="187">
        <f>'1.Conventional'!M25</f>
        <v>134062500</v>
      </c>
      <c r="F24" s="662"/>
      <c r="G24" s="655"/>
      <c r="I24" s="652"/>
      <c r="J24" s="652"/>
      <c r="K24" s="203" t="s">
        <v>20</v>
      </c>
      <c r="L24" s="186">
        <f>'1.Conventional'!Q25</f>
        <v>45</v>
      </c>
      <c r="M24" s="186">
        <f>'1.Conventional'!R25</f>
        <v>25</v>
      </c>
      <c r="N24" s="186">
        <f>'1.Conventional'!S25</f>
        <v>90</v>
      </c>
      <c r="O24" s="186">
        <f>'1.Conventional'!T25</f>
        <v>25.739075352467502</v>
      </c>
      <c r="P24" s="186">
        <f>'1.Conventional'!U25</f>
        <v>2.6194779393934508E-2</v>
      </c>
      <c r="Q24" s="186">
        <f>'1.Conventional'!V25</f>
        <v>5.1703392320372119E-2</v>
      </c>
      <c r="R24" s="655"/>
      <c r="T24" s="618"/>
      <c r="U24" s="618"/>
      <c r="V24" s="87" t="s">
        <v>20</v>
      </c>
      <c r="W24" s="139" t="str">
        <f>'1.Conventional'!Z25</f>
        <v>C</v>
      </c>
      <c r="X24" s="134" t="str">
        <f>'1.Conventional'!AA25</f>
        <v xml:space="preserve">Protected </v>
      </c>
      <c r="Y24" s="134">
        <f>'1.Conventional'!AB25</f>
        <v>0.01</v>
      </c>
      <c r="Z24" s="134">
        <f>'1.Conventional'!AC25</f>
        <v>0.5</v>
      </c>
      <c r="AA24" s="134">
        <f>'1.Conventional'!AD25</f>
        <v>0.505</v>
      </c>
      <c r="AB24" s="134" t="str">
        <f>'1.Conventional'!AE25</f>
        <v>WBT+EBT</v>
      </c>
      <c r="AC24" s="134">
        <f>'1.Conventional'!AF25</f>
        <v>4</v>
      </c>
      <c r="AD24" s="134">
        <f>'1.Conventional'!AG25</f>
        <v>0</v>
      </c>
      <c r="AE24" s="134" t="str">
        <f>'1.Conventional'!AH25</f>
        <v>SBT</v>
      </c>
      <c r="AF24" s="134">
        <f>'1.Conventional'!AI25</f>
        <v>1</v>
      </c>
      <c r="AG24" s="134">
        <f>'1.Conventional'!AJ25</f>
        <v>0</v>
      </c>
      <c r="AH24" s="134">
        <f>'1.Conventional'!AK25</f>
        <v>4</v>
      </c>
      <c r="AI24" s="134">
        <f>'1.Conventional'!AL25</f>
        <v>45</v>
      </c>
      <c r="AJ24" s="134">
        <f>'1.Conventional'!AM25</f>
        <v>0.83333333333333326</v>
      </c>
      <c r="AK24" s="140">
        <f>'1.Conventional'!AN25</f>
        <v>1.6833333333333331</v>
      </c>
      <c r="AL24" s="634"/>
      <c r="AN24" s="618"/>
      <c r="AO24" s="618"/>
      <c r="AP24" s="131" t="s">
        <v>20</v>
      </c>
      <c r="AQ24" s="157">
        <f>'1.Conventional'!AR25</f>
        <v>134062500</v>
      </c>
      <c r="AR24" s="158">
        <f>'1.Conventional'!AS25</f>
        <v>5.1703392320372119E-2</v>
      </c>
      <c r="AS24" s="116">
        <f>'1.Conventional'!AT25</f>
        <v>1.6833333333333331</v>
      </c>
      <c r="AT24" s="116">
        <f>'1.Conventional'!AU25</f>
        <v>1</v>
      </c>
      <c r="AU24" s="6">
        <f>'1.Conventional'!AV25</f>
        <v>11668001.488798976</v>
      </c>
      <c r="AV24" s="621"/>
      <c r="AW24" s="621"/>
      <c r="AX24" s="624"/>
    </row>
    <row r="25" spans="1:50" ht="20.25" thickTop="1" thickBot="1" x14ac:dyDescent="0.35">
      <c r="A25" s="660"/>
      <c r="B25" s="660"/>
      <c r="C25" s="202" t="s">
        <v>28</v>
      </c>
      <c r="D25" s="186" t="str">
        <f>'1.Conventional'!L26</f>
        <v>EBT*NBL</v>
      </c>
      <c r="E25" s="187">
        <f>'1.Conventional'!M26</f>
        <v>67031250</v>
      </c>
      <c r="F25" s="662"/>
      <c r="G25" s="655"/>
      <c r="I25" s="652"/>
      <c r="J25" s="652"/>
      <c r="K25" s="203" t="s">
        <v>28</v>
      </c>
      <c r="L25" s="186">
        <f>'1.Conventional'!Q26</f>
        <v>45</v>
      </c>
      <c r="M25" s="186">
        <f>'1.Conventional'!R26</f>
        <v>15</v>
      </c>
      <c r="N25" s="186">
        <f>'1.Conventional'!S26</f>
        <v>230</v>
      </c>
      <c r="O25" s="186">
        <f>'1.Conventional'!T26</f>
        <v>27.918467333813421</v>
      </c>
      <c r="P25" s="186">
        <f>'1.Conventional'!U26</f>
        <v>3.5644830871376348E-2</v>
      </c>
      <c r="Q25" s="186">
        <f>'1.Conventional'!V26</f>
        <v>7.0019107774903666E-2</v>
      </c>
      <c r="R25" s="655"/>
      <c r="T25" s="618"/>
      <c r="U25" s="618"/>
      <c r="V25" s="87" t="s">
        <v>28</v>
      </c>
      <c r="W25" s="139" t="str">
        <f>'1.Conventional'!Z26</f>
        <v>C</v>
      </c>
      <c r="X25" s="134" t="str">
        <f>'1.Conventional'!AA26</f>
        <v xml:space="preserve">Protected </v>
      </c>
      <c r="Y25" s="134">
        <f>'1.Conventional'!AB26</f>
        <v>0.01</v>
      </c>
      <c r="Z25" s="134">
        <f>'1.Conventional'!AC26</f>
        <v>0.5</v>
      </c>
      <c r="AA25" s="134">
        <f>'1.Conventional'!AD26</f>
        <v>0.505</v>
      </c>
      <c r="AB25" s="134" t="str">
        <f>'1.Conventional'!AE26</f>
        <v>EBT+SBT</v>
      </c>
      <c r="AC25" s="134">
        <f>'1.Conventional'!AF26</f>
        <v>3</v>
      </c>
      <c r="AD25" s="134">
        <f>'1.Conventional'!AG26</f>
        <v>1</v>
      </c>
      <c r="AE25" s="134" t="str">
        <f>'1.Conventional'!AH26</f>
        <v>WBT</v>
      </c>
      <c r="AF25" s="134">
        <f>'1.Conventional'!AI26</f>
        <v>2</v>
      </c>
      <c r="AG25" s="134">
        <f>'1.Conventional'!AJ26</f>
        <v>1.75</v>
      </c>
      <c r="AH25" s="134">
        <f>'1.Conventional'!AK26</f>
        <v>4.75</v>
      </c>
      <c r="AI25" s="134">
        <f>'1.Conventional'!AL26</f>
        <v>45</v>
      </c>
      <c r="AJ25" s="134">
        <f>'1.Conventional'!AM26</f>
        <v>0.83333333333333326</v>
      </c>
      <c r="AK25" s="140">
        <f>'1.Conventional'!AN26</f>
        <v>1.9989583333333334</v>
      </c>
      <c r="AL25" s="634"/>
      <c r="AN25" s="618"/>
      <c r="AO25" s="618"/>
      <c r="AP25" s="131" t="s">
        <v>28</v>
      </c>
      <c r="AQ25" s="157">
        <f>'1.Conventional'!AR26</f>
        <v>67031250</v>
      </c>
      <c r="AR25" s="158">
        <f>'1.Conventional'!AS26</f>
        <v>7.0019107774903666E-2</v>
      </c>
      <c r="AS25" s="116">
        <f>'1.Conventional'!AT26</f>
        <v>1.9989583333333334</v>
      </c>
      <c r="AT25" s="116">
        <f>'1.Conventional'!AU26</f>
        <v>1</v>
      </c>
      <c r="AU25" s="6">
        <f>'1.Conventional'!AV26</f>
        <v>9382047.6065750681</v>
      </c>
      <c r="AV25" s="621"/>
      <c r="AW25" s="621"/>
      <c r="AX25" s="624"/>
    </row>
    <row r="26" spans="1:50" ht="20.25" thickTop="1" thickBot="1" x14ac:dyDescent="0.35">
      <c r="A26" s="660"/>
      <c r="B26" s="660"/>
      <c r="C26" s="202" t="s">
        <v>21</v>
      </c>
      <c r="D26" s="186" t="str">
        <f>'1.Conventional'!L27</f>
        <v>EBT*WBL</v>
      </c>
      <c r="E26" s="187">
        <f>'1.Conventional'!M27</f>
        <v>132031250</v>
      </c>
      <c r="F26" s="662"/>
      <c r="G26" s="655"/>
      <c r="I26" s="652"/>
      <c r="J26" s="652"/>
      <c r="K26" s="203" t="s">
        <v>21</v>
      </c>
      <c r="L26" s="186">
        <f>'1.Conventional'!Q27</f>
        <v>45</v>
      </c>
      <c r="M26" s="186">
        <f>'1.Conventional'!R27</f>
        <v>20</v>
      </c>
      <c r="N26" s="186">
        <f>'1.Conventional'!S27</f>
        <v>230</v>
      </c>
      <c r="O26" s="186">
        <f>'1.Conventional'!T27</f>
        <v>29.924979939156898</v>
      </c>
      <c r="P26" s="186">
        <f>'1.Conventional'!U27</f>
        <v>4.6369867746318419E-2</v>
      </c>
      <c r="Q26" s="186">
        <f>'1.Conventional'!V27</f>
        <v>9.0589570857825777E-2</v>
      </c>
      <c r="R26" s="655"/>
      <c r="T26" s="618"/>
      <c r="U26" s="618"/>
      <c r="V26" s="87" t="s">
        <v>21</v>
      </c>
      <c r="W26" s="139" t="str">
        <f>'1.Conventional'!Z27</f>
        <v>C</v>
      </c>
      <c r="X26" s="134" t="str">
        <f>'1.Conventional'!AA27</f>
        <v xml:space="preserve">Protected </v>
      </c>
      <c r="Y26" s="134">
        <f>'1.Conventional'!AB27</f>
        <v>0.01</v>
      </c>
      <c r="Z26" s="134">
        <f>'1.Conventional'!AC27</f>
        <v>0.5</v>
      </c>
      <c r="AA26" s="134">
        <f>'1.Conventional'!AD27</f>
        <v>0.505</v>
      </c>
      <c r="AB26" s="134" t="str">
        <f>'1.Conventional'!AE27</f>
        <v>EBT+NBT</v>
      </c>
      <c r="AC26" s="134">
        <f>'1.Conventional'!AF27</f>
        <v>3</v>
      </c>
      <c r="AD26" s="134">
        <f>'1.Conventional'!AG27</f>
        <v>1</v>
      </c>
      <c r="AE26" s="134" t="str">
        <f>'1.Conventional'!AH27</f>
        <v>SBT</v>
      </c>
      <c r="AF26" s="134">
        <f>'1.Conventional'!AI27</f>
        <v>1</v>
      </c>
      <c r="AG26" s="134">
        <f>'1.Conventional'!AJ27</f>
        <v>1</v>
      </c>
      <c r="AH26" s="134">
        <f>'1.Conventional'!AK27</f>
        <v>4</v>
      </c>
      <c r="AI26" s="134">
        <f>'1.Conventional'!AL27</f>
        <v>45</v>
      </c>
      <c r="AJ26" s="134">
        <f>'1.Conventional'!AM27</f>
        <v>0.83333333333333326</v>
      </c>
      <c r="AK26" s="140">
        <f>'1.Conventional'!AN27</f>
        <v>1.6833333333333331</v>
      </c>
      <c r="AL26" s="634"/>
      <c r="AN26" s="618"/>
      <c r="AO26" s="618"/>
      <c r="AP26" s="131" t="s">
        <v>21</v>
      </c>
      <c r="AQ26" s="157">
        <f>'1.Conventional'!AR27</f>
        <v>132031250</v>
      </c>
      <c r="AR26" s="158">
        <f>'1.Conventional'!AS27</f>
        <v>9.0589570857825777E-2</v>
      </c>
      <c r="AS26" s="116">
        <f>'1.Conventional'!AT27</f>
        <v>1.6833333333333331</v>
      </c>
      <c r="AT26" s="116">
        <f>'1.Conventional'!AU27</f>
        <v>1</v>
      </c>
      <c r="AU26" s="6">
        <f>'1.Conventional'!AV27</f>
        <v>20133768.03349255</v>
      </c>
      <c r="AV26" s="621"/>
      <c r="AW26" s="621"/>
      <c r="AX26" s="624"/>
    </row>
    <row r="27" spans="1:50" ht="20.25" thickTop="1" thickBot="1" x14ac:dyDescent="0.35">
      <c r="A27" s="660"/>
      <c r="B27" s="660"/>
      <c r="C27" s="202" t="s">
        <v>29</v>
      </c>
      <c r="D27" s="186" t="str">
        <f>'1.Conventional'!L28</f>
        <v>NBT*WBL</v>
      </c>
      <c r="E27" s="187">
        <f>'1.Conventional'!M28</f>
        <v>67031250</v>
      </c>
      <c r="F27" s="662"/>
      <c r="G27" s="655"/>
      <c r="I27" s="652"/>
      <c r="J27" s="652"/>
      <c r="K27" s="203" t="s">
        <v>29</v>
      </c>
      <c r="L27" s="186">
        <f>'1.Conventional'!Q28</f>
        <v>20</v>
      </c>
      <c r="M27" s="186">
        <f>'1.Conventional'!R28</f>
        <v>15</v>
      </c>
      <c r="N27" s="186">
        <f>'1.Conventional'!S28</f>
        <v>230</v>
      </c>
      <c r="O27" s="186">
        <f>'1.Conventional'!T28</f>
        <v>15.895538413434787</v>
      </c>
      <c r="P27" s="186">
        <f>'1.Conventional'!U28</f>
        <v>4.2160006424573982E-3</v>
      </c>
      <c r="Q27" s="186">
        <f>'1.Conventional'!V28</f>
        <v>8.4142266234975959E-3</v>
      </c>
      <c r="R27" s="655"/>
      <c r="T27" s="618"/>
      <c r="U27" s="618"/>
      <c r="V27" s="87" t="s">
        <v>29</v>
      </c>
      <c r="W27" s="139" t="str">
        <f>'1.Conventional'!Z28</f>
        <v>C</v>
      </c>
      <c r="X27" s="134" t="str">
        <f>'1.Conventional'!AA28</f>
        <v xml:space="preserve">Protected </v>
      </c>
      <c r="Y27" s="134">
        <f>'1.Conventional'!AB28</f>
        <v>0.01</v>
      </c>
      <c r="Z27" s="134">
        <f>'1.Conventional'!AC28</f>
        <v>0.5</v>
      </c>
      <c r="AA27" s="134">
        <f>'1.Conventional'!AD28</f>
        <v>0.505</v>
      </c>
      <c r="AB27" s="134" t="str">
        <f>'1.Conventional'!AE28</f>
        <v>EBT+WBT</v>
      </c>
      <c r="AC27" s="134">
        <f>'1.Conventional'!AF28</f>
        <v>4</v>
      </c>
      <c r="AD27" s="134">
        <f>'1.Conventional'!AG28</f>
        <v>0</v>
      </c>
      <c r="AE27" s="134" t="str">
        <f>'1.Conventional'!AH28</f>
        <v>NBT</v>
      </c>
      <c r="AF27" s="134">
        <f>'1.Conventional'!AI28</f>
        <v>1</v>
      </c>
      <c r="AG27" s="134">
        <f>'1.Conventional'!AJ28</f>
        <v>0</v>
      </c>
      <c r="AH27" s="134">
        <f>'1.Conventional'!AK28</f>
        <v>4</v>
      </c>
      <c r="AI27" s="134">
        <f>'1.Conventional'!AL28</f>
        <v>45</v>
      </c>
      <c r="AJ27" s="134">
        <f>'1.Conventional'!AM28</f>
        <v>0.83333333333333326</v>
      </c>
      <c r="AK27" s="140">
        <f>'1.Conventional'!AN28</f>
        <v>1.6833333333333331</v>
      </c>
      <c r="AL27" s="634"/>
      <c r="AN27" s="618"/>
      <c r="AO27" s="618"/>
      <c r="AP27" s="131" t="s">
        <v>29</v>
      </c>
      <c r="AQ27" s="157">
        <f>'1.Conventional'!AR28</f>
        <v>67031250</v>
      </c>
      <c r="AR27" s="158">
        <f>'1.Conventional'!AS28</f>
        <v>8.4142266234975959E-3</v>
      </c>
      <c r="AS27" s="116">
        <f>'1.Conventional'!AT28</f>
        <v>1.6833333333333331</v>
      </c>
      <c r="AT27" s="116">
        <f>'1.Conventional'!AU28</f>
        <v>1</v>
      </c>
      <c r="AU27" s="6">
        <f>'1.Conventional'!AV28</f>
        <v>949427.1493998107</v>
      </c>
      <c r="AV27" s="621"/>
      <c r="AW27" s="621"/>
      <c r="AX27" s="624"/>
    </row>
    <row r="28" spans="1:50" ht="20.25" thickTop="1" thickBot="1" x14ac:dyDescent="0.35">
      <c r="A28" s="660"/>
      <c r="B28" s="660"/>
      <c r="C28" s="202" t="s">
        <v>30</v>
      </c>
      <c r="D28" s="186" t="str">
        <f>'1.Conventional'!L29</f>
        <v>NBT*SBL</v>
      </c>
      <c r="E28" s="187">
        <f>'1.Conventional'!M29</f>
        <v>34031250</v>
      </c>
      <c r="F28" s="662"/>
      <c r="G28" s="655"/>
      <c r="I28" s="652"/>
      <c r="J28" s="652"/>
      <c r="K28" s="203" t="s">
        <v>30</v>
      </c>
      <c r="L28" s="186">
        <f>'1.Conventional'!Q29</f>
        <v>25</v>
      </c>
      <c r="M28" s="186">
        <f>'1.Conventional'!R29</f>
        <v>15</v>
      </c>
      <c r="N28" s="186">
        <f>'1.Conventional'!S29</f>
        <v>230</v>
      </c>
      <c r="O28" s="186">
        <f>'1.Conventional'!T29</f>
        <v>18.248908921254063</v>
      </c>
      <c r="P28" s="186">
        <f>'1.Conventional'!U29</f>
        <v>7.1146798558078322E-3</v>
      </c>
      <c r="Q28" s="186">
        <f>'1.Conventional'!V29</f>
        <v>1.4178741042165027E-2</v>
      </c>
      <c r="R28" s="655"/>
      <c r="T28" s="618"/>
      <c r="U28" s="618"/>
      <c r="V28" s="87" t="s">
        <v>30</v>
      </c>
      <c r="W28" s="139" t="str">
        <f>'1.Conventional'!Z29</f>
        <v>C</v>
      </c>
      <c r="X28" s="134" t="str">
        <f>'1.Conventional'!AA29</f>
        <v xml:space="preserve">Protected </v>
      </c>
      <c r="Y28" s="134">
        <f>'1.Conventional'!AB29</f>
        <v>0.01</v>
      </c>
      <c r="Z28" s="134">
        <f>'1.Conventional'!AC29</f>
        <v>0.5</v>
      </c>
      <c r="AA28" s="134">
        <f>'1.Conventional'!AD29</f>
        <v>0.505</v>
      </c>
      <c r="AB28" s="134" t="str">
        <f>'1.Conventional'!AE29</f>
        <v>WBT+NBT</v>
      </c>
      <c r="AC28" s="134">
        <f>'1.Conventional'!AF29</f>
        <v>3</v>
      </c>
      <c r="AD28" s="134">
        <f>'1.Conventional'!AG29</f>
        <v>1</v>
      </c>
      <c r="AE28" s="134" t="str">
        <f>'1.Conventional'!AH29</f>
        <v>EBT</v>
      </c>
      <c r="AF28" s="134">
        <f>'1.Conventional'!AI29</f>
        <v>2</v>
      </c>
      <c r="AG28" s="134">
        <f>'1.Conventional'!AJ29</f>
        <v>1.75</v>
      </c>
      <c r="AH28" s="134">
        <f>'1.Conventional'!AK29</f>
        <v>4.75</v>
      </c>
      <c r="AI28" s="134">
        <f>'1.Conventional'!AL29</f>
        <v>45</v>
      </c>
      <c r="AJ28" s="134">
        <f>'1.Conventional'!AM29</f>
        <v>0.83333333333333326</v>
      </c>
      <c r="AK28" s="140">
        <f>'1.Conventional'!AN29</f>
        <v>1.9989583333333334</v>
      </c>
      <c r="AL28" s="634"/>
      <c r="AN28" s="618"/>
      <c r="AO28" s="618"/>
      <c r="AP28" s="131" t="s">
        <v>30</v>
      </c>
      <c r="AQ28" s="157">
        <f>'1.Conventional'!AR29</f>
        <v>34031250</v>
      </c>
      <c r="AR28" s="158">
        <f>'1.Conventional'!AS29</f>
        <v>1.4178741042165027E-2</v>
      </c>
      <c r="AS28" s="116">
        <f>'1.Conventional'!AT29</f>
        <v>1.9989583333333334</v>
      </c>
      <c r="AT28" s="116">
        <f>'1.Conventional'!AU29</f>
        <v>1</v>
      </c>
      <c r="AU28" s="6">
        <f>'1.Conventional'!AV29</f>
        <v>964537.93688955379</v>
      </c>
      <c r="AV28" s="621"/>
      <c r="AW28" s="621"/>
      <c r="AX28" s="624"/>
    </row>
    <row r="29" spans="1:50" ht="20.25" thickTop="1" thickBot="1" x14ac:dyDescent="0.35">
      <c r="A29" s="660"/>
      <c r="B29" s="660"/>
      <c r="C29" s="202" t="s">
        <v>31</v>
      </c>
      <c r="D29" s="186" t="str">
        <f>'1.Conventional'!L30</f>
        <v>WBT*SBL</v>
      </c>
      <c r="E29" s="187">
        <f>'1.Conventional'!M30</f>
        <v>67031250</v>
      </c>
      <c r="F29" s="662"/>
      <c r="G29" s="655"/>
      <c r="I29" s="652"/>
      <c r="J29" s="652"/>
      <c r="K29" s="203" t="s">
        <v>31</v>
      </c>
      <c r="L29" s="186">
        <f>'1.Conventional'!Q30</f>
        <v>45</v>
      </c>
      <c r="M29" s="186">
        <f>'1.Conventional'!R30</f>
        <v>15</v>
      </c>
      <c r="N29" s="186">
        <f>'1.Conventional'!S30</f>
        <v>230</v>
      </c>
      <c r="O29" s="186">
        <f>'1.Conventional'!T30</f>
        <v>27.918467333813421</v>
      </c>
      <c r="P29" s="186">
        <f>'1.Conventional'!U30</f>
        <v>3.5644830871376348E-2</v>
      </c>
      <c r="Q29" s="186">
        <f>'1.Conventional'!V30</f>
        <v>7.0019107774903666E-2</v>
      </c>
      <c r="R29" s="655"/>
      <c r="T29" s="618"/>
      <c r="U29" s="618"/>
      <c r="V29" s="87" t="s">
        <v>31</v>
      </c>
      <c r="W29" s="139" t="str">
        <f>'1.Conventional'!Z30</f>
        <v>C</v>
      </c>
      <c r="X29" s="134" t="str">
        <f>'1.Conventional'!AA30</f>
        <v xml:space="preserve">Protected </v>
      </c>
      <c r="Y29" s="134">
        <f>'1.Conventional'!AB30</f>
        <v>0.01</v>
      </c>
      <c r="Z29" s="134">
        <f>'1.Conventional'!AC30</f>
        <v>0.5</v>
      </c>
      <c r="AA29" s="134">
        <f>'1.Conventional'!AD30</f>
        <v>0.505</v>
      </c>
      <c r="AB29" s="134" t="str">
        <f>'1.Conventional'!AE30</f>
        <v>WBT+NBT</v>
      </c>
      <c r="AC29" s="134">
        <f>'1.Conventional'!AF30</f>
        <v>3</v>
      </c>
      <c r="AD29" s="134">
        <f>'1.Conventional'!AG30</f>
        <v>1</v>
      </c>
      <c r="AE29" s="134" t="str">
        <f>'1.Conventional'!AH30</f>
        <v>EBT</v>
      </c>
      <c r="AF29" s="134">
        <f>'1.Conventional'!AI30</f>
        <v>2</v>
      </c>
      <c r="AG29" s="134">
        <f>'1.Conventional'!AJ30</f>
        <v>1.75</v>
      </c>
      <c r="AH29" s="134">
        <f>'1.Conventional'!AK30</f>
        <v>4.75</v>
      </c>
      <c r="AI29" s="134">
        <f>'1.Conventional'!AL30</f>
        <v>45</v>
      </c>
      <c r="AJ29" s="134">
        <f>'1.Conventional'!AM30</f>
        <v>0.83333333333333326</v>
      </c>
      <c r="AK29" s="140">
        <f>'1.Conventional'!AN30</f>
        <v>1.9989583333333334</v>
      </c>
      <c r="AL29" s="634"/>
      <c r="AN29" s="618"/>
      <c r="AO29" s="618"/>
      <c r="AP29" s="131" t="s">
        <v>31</v>
      </c>
      <c r="AQ29" s="157">
        <f>'1.Conventional'!AR30</f>
        <v>67031250</v>
      </c>
      <c r="AR29" s="158">
        <f>'1.Conventional'!AS30</f>
        <v>7.0019107774903666E-2</v>
      </c>
      <c r="AS29" s="116">
        <f>'1.Conventional'!AT30</f>
        <v>1.9989583333333334</v>
      </c>
      <c r="AT29" s="116">
        <f>'1.Conventional'!AU30</f>
        <v>1</v>
      </c>
      <c r="AU29" s="6">
        <f>'1.Conventional'!AV30</f>
        <v>9382047.6065750681</v>
      </c>
      <c r="AV29" s="621"/>
      <c r="AW29" s="621"/>
      <c r="AX29" s="624"/>
    </row>
    <row r="30" spans="1:50" ht="20.25" thickTop="1" thickBot="1" x14ac:dyDescent="0.35">
      <c r="A30" s="660"/>
      <c r="B30" s="660"/>
      <c r="C30" s="202" t="s">
        <v>32</v>
      </c>
      <c r="D30" s="186" t="str">
        <f>'1.Conventional'!L31</f>
        <v>WBT*EBL</v>
      </c>
      <c r="E30" s="187">
        <f>'1.Conventional'!M31</f>
        <v>132031250</v>
      </c>
      <c r="F30" s="662"/>
      <c r="G30" s="655"/>
      <c r="I30" s="652"/>
      <c r="J30" s="652"/>
      <c r="K30" s="203" t="s">
        <v>32</v>
      </c>
      <c r="L30" s="186">
        <f>'1.Conventional'!Q31</f>
        <v>20</v>
      </c>
      <c r="M30" s="186">
        <f>'1.Conventional'!R31</f>
        <v>45</v>
      </c>
      <c r="N30" s="186">
        <f>'1.Conventional'!S31</f>
        <v>230</v>
      </c>
      <c r="O30" s="186">
        <f>'1.Conventional'!T31</f>
        <v>29.924979939156898</v>
      </c>
      <c r="P30" s="186">
        <f>'1.Conventional'!U31</f>
        <v>4.6369867746318419E-2</v>
      </c>
      <c r="Q30" s="186">
        <f>'1.Conventional'!V31</f>
        <v>9.0589570857825777E-2</v>
      </c>
      <c r="R30" s="655"/>
      <c r="T30" s="618"/>
      <c r="U30" s="618"/>
      <c r="V30" s="87" t="s">
        <v>32</v>
      </c>
      <c r="W30" s="139" t="str">
        <f>'1.Conventional'!Z31</f>
        <v>C</v>
      </c>
      <c r="X30" s="134" t="str">
        <f>'1.Conventional'!AA31</f>
        <v xml:space="preserve">Protected </v>
      </c>
      <c r="Y30" s="134">
        <f>'1.Conventional'!AB31</f>
        <v>0.01</v>
      </c>
      <c r="Z30" s="134">
        <f>'1.Conventional'!AC31</f>
        <v>0.5</v>
      </c>
      <c r="AA30" s="134">
        <f>'1.Conventional'!AD31</f>
        <v>0.505</v>
      </c>
      <c r="AB30" s="134" t="str">
        <f>'1.Conventional'!AE31</f>
        <v>WBT+SBT</v>
      </c>
      <c r="AC30" s="134">
        <f>'1.Conventional'!AF31</f>
        <v>3</v>
      </c>
      <c r="AD30" s="134">
        <f>'1.Conventional'!AG31</f>
        <v>1</v>
      </c>
      <c r="AE30" s="134" t="str">
        <f>'1.Conventional'!AH31</f>
        <v>NBT</v>
      </c>
      <c r="AF30" s="134">
        <f>'1.Conventional'!AI31</f>
        <v>1</v>
      </c>
      <c r="AG30" s="134">
        <f>'1.Conventional'!AJ31</f>
        <v>1</v>
      </c>
      <c r="AH30" s="134">
        <f>'1.Conventional'!AK31</f>
        <v>4</v>
      </c>
      <c r="AI30" s="134">
        <f>'1.Conventional'!AL31</f>
        <v>45</v>
      </c>
      <c r="AJ30" s="134">
        <f>'1.Conventional'!AM31</f>
        <v>0.83333333333333326</v>
      </c>
      <c r="AK30" s="140">
        <f>'1.Conventional'!AN31</f>
        <v>1.6833333333333331</v>
      </c>
      <c r="AL30" s="634"/>
      <c r="AN30" s="618"/>
      <c r="AO30" s="618"/>
      <c r="AP30" s="131" t="s">
        <v>32</v>
      </c>
      <c r="AQ30" s="157">
        <f>'1.Conventional'!AR31</f>
        <v>132031250</v>
      </c>
      <c r="AR30" s="158">
        <f>'1.Conventional'!AS31</f>
        <v>9.0589570857825777E-2</v>
      </c>
      <c r="AS30" s="116">
        <f>'1.Conventional'!AT31</f>
        <v>1.6833333333333331</v>
      </c>
      <c r="AT30" s="116">
        <f>'1.Conventional'!AU31</f>
        <v>1</v>
      </c>
      <c r="AU30" s="6">
        <f>'1.Conventional'!AV31</f>
        <v>20133768.03349255</v>
      </c>
      <c r="AV30" s="621"/>
      <c r="AW30" s="621"/>
      <c r="AX30" s="624"/>
    </row>
    <row r="31" spans="1:50" ht="20.25" thickTop="1" thickBot="1" x14ac:dyDescent="0.35">
      <c r="A31" s="660"/>
      <c r="B31" s="660"/>
      <c r="C31" s="202" t="s">
        <v>33</v>
      </c>
      <c r="D31" s="186" t="str">
        <f>'1.Conventional'!L32</f>
        <v>SBT*EBL</v>
      </c>
      <c r="E31" s="187">
        <f>'1.Conventional'!M32</f>
        <v>67031250</v>
      </c>
      <c r="F31" s="662"/>
      <c r="G31" s="655"/>
      <c r="I31" s="652"/>
      <c r="J31" s="652"/>
      <c r="K31" s="203" t="s">
        <v>33</v>
      </c>
      <c r="L31" s="186">
        <f>'1.Conventional'!Q32</f>
        <v>20</v>
      </c>
      <c r="M31" s="186">
        <f>'1.Conventional'!R32</f>
        <v>15</v>
      </c>
      <c r="N31" s="186">
        <f>'1.Conventional'!S32</f>
        <v>230</v>
      </c>
      <c r="O31" s="186">
        <f>'1.Conventional'!T32</f>
        <v>15.895538413434787</v>
      </c>
      <c r="P31" s="186">
        <f>'1.Conventional'!U32</f>
        <v>4.2160006424573982E-3</v>
      </c>
      <c r="Q31" s="186">
        <f>'1.Conventional'!V32</f>
        <v>8.4142266234975959E-3</v>
      </c>
      <c r="R31" s="655"/>
      <c r="T31" s="618"/>
      <c r="U31" s="618"/>
      <c r="V31" s="87" t="s">
        <v>33</v>
      </c>
      <c r="W31" s="139" t="str">
        <f>'1.Conventional'!Z32</f>
        <v>C</v>
      </c>
      <c r="X31" s="134" t="str">
        <f>'1.Conventional'!AA32</f>
        <v xml:space="preserve">Protected </v>
      </c>
      <c r="Y31" s="134">
        <f>'1.Conventional'!AB32</f>
        <v>0.01</v>
      </c>
      <c r="Z31" s="134">
        <f>'1.Conventional'!AC32</f>
        <v>0.5</v>
      </c>
      <c r="AA31" s="134">
        <f>'1.Conventional'!AD32</f>
        <v>0.505</v>
      </c>
      <c r="AB31" s="134" t="str">
        <f>'1.Conventional'!AE32</f>
        <v>WBT+EBT</v>
      </c>
      <c r="AC31" s="134">
        <f>'1.Conventional'!AF32</f>
        <v>4</v>
      </c>
      <c r="AD31" s="134">
        <f>'1.Conventional'!AG32</f>
        <v>0</v>
      </c>
      <c r="AE31" s="134" t="str">
        <f>'1.Conventional'!AH32</f>
        <v>SBT</v>
      </c>
      <c r="AF31" s="134">
        <f>'1.Conventional'!AI32</f>
        <v>1</v>
      </c>
      <c r="AG31" s="134">
        <f>'1.Conventional'!AJ32</f>
        <v>0</v>
      </c>
      <c r="AH31" s="134">
        <f>'1.Conventional'!AK32</f>
        <v>4</v>
      </c>
      <c r="AI31" s="134">
        <f>'1.Conventional'!AL32</f>
        <v>45</v>
      </c>
      <c r="AJ31" s="134">
        <f>'1.Conventional'!AM32</f>
        <v>0.83333333333333326</v>
      </c>
      <c r="AK31" s="140">
        <f>'1.Conventional'!AN32</f>
        <v>1.6833333333333331</v>
      </c>
      <c r="AL31" s="634"/>
      <c r="AN31" s="618"/>
      <c r="AO31" s="618"/>
      <c r="AP31" s="131" t="s">
        <v>33</v>
      </c>
      <c r="AQ31" s="157">
        <f>'1.Conventional'!AR32</f>
        <v>67031250</v>
      </c>
      <c r="AR31" s="158">
        <f>'1.Conventional'!AS32</f>
        <v>8.4142266234975959E-3</v>
      </c>
      <c r="AS31" s="116">
        <f>'1.Conventional'!AT32</f>
        <v>1.6833333333333331</v>
      </c>
      <c r="AT31" s="116">
        <f>'1.Conventional'!AU32</f>
        <v>1</v>
      </c>
      <c r="AU31" s="6">
        <f>'1.Conventional'!AV32</f>
        <v>949427.1493998107</v>
      </c>
      <c r="AV31" s="621"/>
      <c r="AW31" s="621"/>
      <c r="AX31" s="624"/>
    </row>
    <row r="32" spans="1:50" ht="20.25" thickTop="1" thickBot="1" x14ac:dyDescent="0.35">
      <c r="A32" s="660"/>
      <c r="B32" s="660"/>
      <c r="C32" s="202" t="s">
        <v>34</v>
      </c>
      <c r="D32" s="186" t="str">
        <f>'1.Conventional'!L33</f>
        <v>SBT*NBL</v>
      </c>
      <c r="E32" s="187">
        <f>'1.Conventional'!M33</f>
        <v>34031250</v>
      </c>
      <c r="F32" s="662"/>
      <c r="G32" s="655"/>
      <c r="I32" s="652"/>
      <c r="J32" s="652"/>
      <c r="K32" s="203" t="s">
        <v>34</v>
      </c>
      <c r="L32" s="186">
        <f>'1.Conventional'!Q33</f>
        <v>15</v>
      </c>
      <c r="M32" s="186">
        <f>'1.Conventional'!R33</f>
        <v>25</v>
      </c>
      <c r="N32" s="186">
        <f>'1.Conventional'!S33</f>
        <v>230</v>
      </c>
      <c r="O32" s="186">
        <f>'1.Conventional'!T33</f>
        <v>18.248908921254063</v>
      </c>
      <c r="P32" s="186">
        <f>'1.Conventional'!U33</f>
        <v>7.1146798558078322E-3</v>
      </c>
      <c r="Q32" s="186">
        <f>'1.Conventional'!V33</f>
        <v>1.4178741042165027E-2</v>
      </c>
      <c r="R32" s="655"/>
      <c r="T32" s="618"/>
      <c r="U32" s="618"/>
      <c r="V32" s="87" t="s">
        <v>34</v>
      </c>
      <c r="W32" s="139" t="str">
        <f>'1.Conventional'!Z33</f>
        <v>C</v>
      </c>
      <c r="X32" s="134" t="str">
        <f>'1.Conventional'!AA33</f>
        <v xml:space="preserve">Protected </v>
      </c>
      <c r="Y32" s="134">
        <f>'1.Conventional'!AB33</f>
        <v>0.01</v>
      </c>
      <c r="Z32" s="134">
        <f>'1.Conventional'!AC33</f>
        <v>0.5</v>
      </c>
      <c r="AA32" s="134">
        <f>'1.Conventional'!AD33</f>
        <v>0.505</v>
      </c>
      <c r="AB32" s="134" t="str">
        <f>'1.Conventional'!AE33</f>
        <v>EBT+SBT</v>
      </c>
      <c r="AC32" s="134">
        <f>'1.Conventional'!AF33</f>
        <v>3</v>
      </c>
      <c r="AD32" s="134">
        <f>'1.Conventional'!AG33</f>
        <v>1</v>
      </c>
      <c r="AE32" s="134" t="str">
        <f>'1.Conventional'!AH33</f>
        <v>WBT</v>
      </c>
      <c r="AF32" s="134">
        <f>'1.Conventional'!AI33</f>
        <v>2</v>
      </c>
      <c r="AG32" s="134">
        <f>'1.Conventional'!AJ33</f>
        <v>1.75</v>
      </c>
      <c r="AH32" s="134">
        <f>'1.Conventional'!AK33</f>
        <v>4.75</v>
      </c>
      <c r="AI32" s="134">
        <f>'1.Conventional'!AL33</f>
        <v>45</v>
      </c>
      <c r="AJ32" s="134">
        <f>'1.Conventional'!AM33</f>
        <v>0.83333333333333326</v>
      </c>
      <c r="AK32" s="140">
        <f>'1.Conventional'!AN33</f>
        <v>1.9989583333333334</v>
      </c>
      <c r="AL32" s="634"/>
      <c r="AN32" s="618"/>
      <c r="AO32" s="618"/>
      <c r="AP32" s="131" t="s">
        <v>34</v>
      </c>
      <c r="AQ32" s="157">
        <f>'1.Conventional'!AR33</f>
        <v>34031250</v>
      </c>
      <c r="AR32" s="158">
        <f>'1.Conventional'!AS33</f>
        <v>1.4178741042165027E-2</v>
      </c>
      <c r="AS32" s="116">
        <f>'1.Conventional'!AT33</f>
        <v>1.9989583333333334</v>
      </c>
      <c r="AT32" s="116">
        <f>'1.Conventional'!AU33</f>
        <v>1</v>
      </c>
      <c r="AU32" s="6">
        <f>'1.Conventional'!AV33</f>
        <v>964537.93688955379</v>
      </c>
      <c r="AV32" s="621"/>
      <c r="AW32" s="621"/>
      <c r="AX32" s="624"/>
    </row>
    <row r="33" spans="1:50" ht="20.25" thickTop="1" thickBot="1" x14ac:dyDescent="0.35">
      <c r="A33" s="660"/>
      <c r="B33" s="660"/>
      <c r="C33" s="202" t="s">
        <v>35</v>
      </c>
      <c r="D33" s="186" t="str">
        <f>'1.Conventional'!L34</f>
        <v>SBL*WBL</v>
      </c>
      <c r="E33" s="187">
        <f>'1.Conventional'!M34</f>
        <v>33515625</v>
      </c>
      <c r="F33" s="662"/>
      <c r="G33" s="655"/>
      <c r="I33" s="652"/>
      <c r="J33" s="652"/>
      <c r="K33" s="203" t="s">
        <v>35</v>
      </c>
      <c r="L33" s="186">
        <f>'1.Conventional'!Q34</f>
        <v>25</v>
      </c>
      <c r="M33" s="186">
        <f>'1.Conventional'!R34</f>
        <v>20</v>
      </c>
      <c r="N33" s="186">
        <f>'1.Conventional'!S34</f>
        <v>230</v>
      </c>
      <c r="O33" s="186">
        <f>'1.Conventional'!T34</f>
        <v>20.419277715473552</v>
      </c>
      <c r="P33" s="186">
        <f>'1.Conventional'!U34</f>
        <v>1.089232327256362E-2</v>
      </c>
      <c r="Q33" s="186">
        <f>'1.Conventional'!V34</f>
        <v>2.1666003838853209E-2</v>
      </c>
      <c r="R33" s="655"/>
      <c r="T33" s="618"/>
      <c r="U33" s="618"/>
      <c r="V33" s="87" t="s">
        <v>35</v>
      </c>
      <c r="W33" s="139" t="str">
        <f>'1.Conventional'!Z34</f>
        <v>C</v>
      </c>
      <c r="X33" s="134" t="str">
        <f>'1.Conventional'!AA34</f>
        <v xml:space="preserve">Protected </v>
      </c>
      <c r="Y33" s="134">
        <f>'1.Conventional'!AB34</f>
        <v>0.01</v>
      </c>
      <c r="Z33" s="134">
        <f>'1.Conventional'!AC34</f>
        <v>0.5</v>
      </c>
      <c r="AA33" s="134">
        <f>'1.Conventional'!AD34</f>
        <v>0.505</v>
      </c>
      <c r="AB33" s="134" t="str">
        <f>'1.Conventional'!AE34</f>
        <v>WBT+NBT</v>
      </c>
      <c r="AC33" s="134">
        <f>'1.Conventional'!AF34</f>
        <v>3</v>
      </c>
      <c r="AD33" s="134">
        <f>'1.Conventional'!AG34</f>
        <v>0</v>
      </c>
      <c r="AE33" s="134" t="str">
        <f>'1.Conventional'!AH34</f>
        <v>EBT</v>
      </c>
      <c r="AF33" s="134">
        <f>'1.Conventional'!AI34</f>
        <v>2</v>
      </c>
      <c r="AG33" s="134">
        <f>'1.Conventional'!AJ34</f>
        <v>0</v>
      </c>
      <c r="AH33" s="134">
        <f>'1.Conventional'!AK34</f>
        <v>3</v>
      </c>
      <c r="AI33" s="134">
        <f>'1.Conventional'!AL34</f>
        <v>45</v>
      </c>
      <c r="AJ33" s="134">
        <f>'1.Conventional'!AM34</f>
        <v>0.83333333333333326</v>
      </c>
      <c r="AK33" s="140">
        <f>'1.Conventional'!AN34</f>
        <v>1.2625</v>
      </c>
      <c r="AL33" s="634"/>
      <c r="AN33" s="618"/>
      <c r="AO33" s="618"/>
      <c r="AP33" s="131" t="s">
        <v>35</v>
      </c>
      <c r="AQ33" s="157">
        <f>'1.Conventional'!AR34</f>
        <v>33515625</v>
      </c>
      <c r="AR33" s="158">
        <f>'1.Conventional'!AS34</f>
        <v>2.1666003838853209E-2</v>
      </c>
      <c r="AS33" s="116">
        <f>'1.Conventional'!AT34</f>
        <v>1.2625</v>
      </c>
      <c r="AT33" s="116">
        <f>'1.Conventional'!AU34</f>
        <v>1</v>
      </c>
      <c r="AU33" s="6">
        <f>'1.Conventional'!AV34</f>
        <v>916763.94563835021</v>
      </c>
      <c r="AV33" s="621"/>
      <c r="AW33" s="621"/>
      <c r="AX33" s="624"/>
    </row>
    <row r="34" spans="1:50" ht="20.25" thickTop="1" thickBot="1" x14ac:dyDescent="0.35">
      <c r="A34" s="660"/>
      <c r="B34" s="660"/>
      <c r="C34" s="202" t="s">
        <v>36</v>
      </c>
      <c r="D34" s="186" t="str">
        <f>'1.Conventional'!L35</f>
        <v>SBL*EBL</v>
      </c>
      <c r="E34" s="187">
        <f>'1.Conventional'!M35</f>
        <v>33515625</v>
      </c>
      <c r="F34" s="662"/>
      <c r="G34" s="655"/>
      <c r="I34" s="652"/>
      <c r="J34" s="652"/>
      <c r="K34" s="203" t="s">
        <v>36</v>
      </c>
      <c r="L34" s="186">
        <f>'1.Conventional'!Q35</f>
        <v>20</v>
      </c>
      <c r="M34" s="186">
        <f>'1.Conventional'!R35</f>
        <v>15</v>
      </c>
      <c r="N34" s="186">
        <f>'1.Conventional'!S35</f>
        <v>230</v>
      </c>
      <c r="O34" s="186">
        <f>'1.Conventional'!T35</f>
        <v>15.895538413434787</v>
      </c>
      <c r="P34" s="186">
        <f>'1.Conventional'!U35</f>
        <v>4.2160006424573982E-3</v>
      </c>
      <c r="Q34" s="186">
        <f>'1.Conventional'!V35</f>
        <v>8.4142266234975959E-3</v>
      </c>
      <c r="R34" s="655"/>
      <c r="T34" s="618"/>
      <c r="U34" s="618"/>
      <c r="V34" s="87" t="s">
        <v>36</v>
      </c>
      <c r="W34" s="139" t="str">
        <f>'1.Conventional'!Z35</f>
        <v>C</v>
      </c>
      <c r="X34" s="134" t="str">
        <f>'1.Conventional'!AA35</f>
        <v xml:space="preserve">Protected </v>
      </c>
      <c r="Y34" s="134">
        <f>'1.Conventional'!AB35</f>
        <v>0.01</v>
      </c>
      <c r="Z34" s="134">
        <f>'1.Conventional'!AC35</f>
        <v>0.5</v>
      </c>
      <c r="AA34" s="134">
        <f>'1.Conventional'!AD35</f>
        <v>0.505</v>
      </c>
      <c r="AB34" s="134" t="str">
        <f>'1.Conventional'!AE35</f>
        <v>WBT+NBT</v>
      </c>
      <c r="AC34" s="134">
        <f>'1.Conventional'!AF35</f>
        <v>3</v>
      </c>
      <c r="AD34" s="134">
        <f>'1.Conventional'!AG35</f>
        <v>0</v>
      </c>
      <c r="AE34" s="134" t="str">
        <f>'1.Conventional'!AH35</f>
        <v>EBT</v>
      </c>
      <c r="AF34" s="134">
        <f>'1.Conventional'!AI35</f>
        <v>2</v>
      </c>
      <c r="AG34" s="134">
        <f>'1.Conventional'!AJ35</f>
        <v>0</v>
      </c>
      <c r="AH34" s="134">
        <f>'1.Conventional'!AK35</f>
        <v>3</v>
      </c>
      <c r="AI34" s="134">
        <f>'1.Conventional'!AL35</f>
        <v>45</v>
      </c>
      <c r="AJ34" s="134">
        <f>'1.Conventional'!AM35</f>
        <v>0.83333333333333326</v>
      </c>
      <c r="AK34" s="140">
        <f>'1.Conventional'!AN35</f>
        <v>1.2625</v>
      </c>
      <c r="AL34" s="634"/>
      <c r="AN34" s="618"/>
      <c r="AO34" s="618"/>
      <c r="AP34" s="131" t="s">
        <v>36</v>
      </c>
      <c r="AQ34" s="157">
        <f>'1.Conventional'!AR35</f>
        <v>33515625</v>
      </c>
      <c r="AR34" s="158">
        <f>'1.Conventional'!AS35</f>
        <v>8.4142266234975959E-3</v>
      </c>
      <c r="AS34" s="116">
        <f>'1.Conventional'!AT35</f>
        <v>1.2625</v>
      </c>
      <c r="AT34" s="116">
        <f>'1.Conventional'!AU35</f>
        <v>1</v>
      </c>
      <c r="AU34" s="6">
        <f>'1.Conventional'!AV35</f>
        <v>356035.18102492904</v>
      </c>
      <c r="AV34" s="621"/>
      <c r="AW34" s="621"/>
      <c r="AX34" s="624"/>
    </row>
    <row r="35" spans="1:50" ht="20.25" thickTop="1" thickBot="1" x14ac:dyDescent="0.35">
      <c r="A35" s="660"/>
      <c r="B35" s="660"/>
      <c r="C35" s="202" t="s">
        <v>42</v>
      </c>
      <c r="D35" s="186" t="str">
        <f>'1.Conventional'!L36</f>
        <v>EBL*NBL</v>
      </c>
      <c r="E35" s="187">
        <f>'1.Conventional'!M36</f>
        <v>33515625</v>
      </c>
      <c r="F35" s="662"/>
      <c r="G35" s="655"/>
      <c r="I35" s="652"/>
      <c r="J35" s="652"/>
      <c r="K35" s="203" t="s">
        <v>42</v>
      </c>
      <c r="L35" s="186">
        <f>'1.Conventional'!Q36</f>
        <v>25</v>
      </c>
      <c r="M35" s="186">
        <f>'1.Conventional'!R36</f>
        <v>20</v>
      </c>
      <c r="N35" s="186">
        <f>'1.Conventional'!S36</f>
        <v>230</v>
      </c>
      <c r="O35" s="186">
        <f>'1.Conventional'!T36</f>
        <v>20.419277715473552</v>
      </c>
      <c r="P35" s="186">
        <f>'1.Conventional'!U36</f>
        <v>1.089232327256362E-2</v>
      </c>
      <c r="Q35" s="186">
        <f>'1.Conventional'!V36</f>
        <v>2.1666003838853209E-2</v>
      </c>
      <c r="R35" s="655"/>
      <c r="T35" s="618"/>
      <c r="U35" s="618"/>
      <c r="V35" s="87" t="s">
        <v>42</v>
      </c>
      <c r="W35" s="139" t="str">
        <f>'1.Conventional'!Z36</f>
        <v>C</v>
      </c>
      <c r="X35" s="134" t="str">
        <f>'1.Conventional'!AA36</f>
        <v xml:space="preserve">Protected </v>
      </c>
      <c r="Y35" s="134">
        <f>'1.Conventional'!AB36</f>
        <v>0.01</v>
      </c>
      <c r="Z35" s="134">
        <f>'1.Conventional'!AC36</f>
        <v>0.5</v>
      </c>
      <c r="AA35" s="134">
        <f>'1.Conventional'!AD36</f>
        <v>0.505</v>
      </c>
      <c r="AB35" s="134" t="str">
        <f>'1.Conventional'!AE36</f>
        <v>EBT+SBT</v>
      </c>
      <c r="AC35" s="134">
        <f>'1.Conventional'!AF36</f>
        <v>3</v>
      </c>
      <c r="AD35" s="134">
        <f>'1.Conventional'!AG36</f>
        <v>0</v>
      </c>
      <c r="AE35" s="134" t="str">
        <f>'1.Conventional'!AH36</f>
        <v>WBT</v>
      </c>
      <c r="AF35" s="134">
        <f>'1.Conventional'!AI36</f>
        <v>2</v>
      </c>
      <c r="AG35" s="134">
        <f>'1.Conventional'!AJ36</f>
        <v>0</v>
      </c>
      <c r="AH35" s="134">
        <f>'1.Conventional'!AK36</f>
        <v>3</v>
      </c>
      <c r="AI35" s="134">
        <f>'1.Conventional'!AL36</f>
        <v>45</v>
      </c>
      <c r="AJ35" s="134">
        <f>'1.Conventional'!AM36</f>
        <v>0.83333333333333326</v>
      </c>
      <c r="AK35" s="140">
        <f>'1.Conventional'!AN36</f>
        <v>1.2625</v>
      </c>
      <c r="AL35" s="634"/>
      <c r="AN35" s="618"/>
      <c r="AO35" s="618"/>
      <c r="AP35" s="131" t="s">
        <v>42</v>
      </c>
      <c r="AQ35" s="157">
        <f>'1.Conventional'!AR36</f>
        <v>33515625</v>
      </c>
      <c r="AR35" s="158">
        <f>'1.Conventional'!AS36</f>
        <v>2.1666003838853209E-2</v>
      </c>
      <c r="AS35" s="116">
        <f>'1.Conventional'!AT36</f>
        <v>1.2625</v>
      </c>
      <c r="AT35" s="116">
        <f>'1.Conventional'!AU36</f>
        <v>1</v>
      </c>
      <c r="AU35" s="6">
        <f>'1.Conventional'!AV36</f>
        <v>916763.94563835021</v>
      </c>
      <c r="AV35" s="621"/>
      <c r="AW35" s="621"/>
      <c r="AX35" s="624"/>
    </row>
    <row r="36" spans="1:50" ht="20.25" thickTop="1" thickBot="1" x14ac:dyDescent="0.35">
      <c r="A36" s="660"/>
      <c r="B36" s="660"/>
      <c r="C36" s="204" t="s">
        <v>43</v>
      </c>
      <c r="D36" s="192" t="str">
        <f>'1.Conventional'!L37</f>
        <v>NBL*WBL</v>
      </c>
      <c r="E36" s="193">
        <f>'1.Conventional'!M37</f>
        <v>33515625</v>
      </c>
      <c r="F36" s="663"/>
      <c r="G36" s="656"/>
      <c r="I36" s="653"/>
      <c r="J36" s="653"/>
      <c r="K36" s="205" t="s">
        <v>43</v>
      </c>
      <c r="L36" s="192">
        <f>'1.Conventional'!Q37</f>
        <v>20</v>
      </c>
      <c r="M36" s="192">
        <f>'1.Conventional'!R37</f>
        <v>15</v>
      </c>
      <c r="N36" s="192">
        <f>'1.Conventional'!S37</f>
        <v>230</v>
      </c>
      <c r="O36" s="192">
        <f>'1.Conventional'!T37</f>
        <v>15.895538413434787</v>
      </c>
      <c r="P36" s="192">
        <f>'1.Conventional'!U37</f>
        <v>4.2160006424573982E-3</v>
      </c>
      <c r="Q36" s="192">
        <f>'1.Conventional'!V37</f>
        <v>8.4142266234975959E-3</v>
      </c>
      <c r="R36" s="656"/>
      <c r="T36" s="619"/>
      <c r="U36" s="619"/>
      <c r="V36" s="88" t="s">
        <v>43</v>
      </c>
      <c r="W36" s="139" t="str">
        <f>'1.Conventional'!Z37</f>
        <v>C</v>
      </c>
      <c r="X36" s="142" t="str">
        <f>'1.Conventional'!AA37</f>
        <v xml:space="preserve">Protected </v>
      </c>
      <c r="Y36" s="142">
        <f>'1.Conventional'!AB37</f>
        <v>0.01</v>
      </c>
      <c r="Z36" s="142">
        <f>'1.Conventional'!AC37</f>
        <v>0.5</v>
      </c>
      <c r="AA36" s="142">
        <f>'1.Conventional'!AD37</f>
        <v>0.505</v>
      </c>
      <c r="AB36" s="142" t="str">
        <f>'1.Conventional'!AE37</f>
        <v>EBT+SBT</v>
      </c>
      <c r="AC36" s="142">
        <f>'1.Conventional'!AF37</f>
        <v>3</v>
      </c>
      <c r="AD36" s="142">
        <f>'1.Conventional'!AG37</f>
        <v>0</v>
      </c>
      <c r="AE36" s="142" t="str">
        <f>'1.Conventional'!AH37</f>
        <v>WBT</v>
      </c>
      <c r="AF36" s="142">
        <f>'1.Conventional'!AI37</f>
        <v>2</v>
      </c>
      <c r="AG36" s="142">
        <f>'1.Conventional'!AJ37</f>
        <v>0</v>
      </c>
      <c r="AH36" s="142">
        <f>'1.Conventional'!AK37</f>
        <v>3</v>
      </c>
      <c r="AI36" s="142">
        <f>'1.Conventional'!AL37</f>
        <v>45</v>
      </c>
      <c r="AJ36" s="142">
        <f>'1.Conventional'!AM37</f>
        <v>0.83333333333333326</v>
      </c>
      <c r="AK36" s="143">
        <f>'1.Conventional'!AN37</f>
        <v>1.2625</v>
      </c>
      <c r="AL36" s="635"/>
      <c r="AN36" s="619"/>
      <c r="AO36" s="619"/>
      <c r="AP36" s="132" t="s">
        <v>43</v>
      </c>
      <c r="AQ36" s="159">
        <f>'1.Conventional'!AR37</f>
        <v>33515625</v>
      </c>
      <c r="AR36" s="160">
        <f>'1.Conventional'!AS37</f>
        <v>8.4142266234975959E-3</v>
      </c>
      <c r="AS36" s="119">
        <f>'1.Conventional'!AT37</f>
        <v>1.2625</v>
      </c>
      <c r="AT36" s="119">
        <f>'1.Conventional'!AU37</f>
        <v>1</v>
      </c>
      <c r="AU36" s="7">
        <f>'1.Conventional'!AV37</f>
        <v>356035.18102492904</v>
      </c>
      <c r="AV36" s="622"/>
      <c r="AW36" s="622"/>
      <c r="AX36" s="625"/>
    </row>
    <row r="37" spans="1:50" ht="19.5" thickTop="1" x14ac:dyDescent="0.3">
      <c r="A37" s="654">
        <v>2</v>
      </c>
      <c r="B37" s="654" t="s">
        <v>4</v>
      </c>
      <c r="C37" s="181" t="s">
        <v>26</v>
      </c>
      <c r="D37" s="182" t="str">
        <f>'2.Partial CFI'!L6</f>
        <v>NBR*(NBT+NBL)</v>
      </c>
      <c r="E37" s="195">
        <f>'2.Partial CFI'!M6</f>
        <v>51046875</v>
      </c>
      <c r="F37" s="661">
        <f>SUM(E37:E44)</f>
        <v>830312500</v>
      </c>
      <c r="G37" s="654">
        <f>F37/F5</f>
        <v>1</v>
      </c>
      <c r="I37" s="654">
        <v>2</v>
      </c>
      <c r="J37" s="654" t="s">
        <v>4</v>
      </c>
      <c r="K37" s="181" t="s">
        <v>26</v>
      </c>
      <c r="L37" s="182">
        <f>'2.Partial CFI'!Q6</f>
        <v>25</v>
      </c>
      <c r="M37" s="182">
        <f>'2.Partial CFI'!R6</f>
        <v>25</v>
      </c>
      <c r="N37" s="182">
        <f>'2.Partial CFI'!S6</f>
        <v>10</v>
      </c>
      <c r="O37" s="182">
        <f>'2.Partial CFI'!T6</f>
        <v>2.1788935686914574</v>
      </c>
      <c r="P37" s="182">
        <f>'2.Partial CFI'!U6</f>
        <v>2.2593421376807375E-6</v>
      </c>
      <c r="Q37" s="182">
        <f>'2.Partial CFI'!V6</f>
        <v>4.5186791707345801E-6</v>
      </c>
      <c r="R37" s="654">
        <f>'2.Partial CFI'!W6</f>
        <v>2.683738769075432E-3</v>
      </c>
      <c r="T37" s="626">
        <v>2</v>
      </c>
      <c r="U37" s="626" t="s">
        <v>4</v>
      </c>
      <c r="V37" s="72" t="s">
        <v>26</v>
      </c>
      <c r="W37" s="149" t="str">
        <f>'2.Partial CFI'!Z6</f>
        <v>D</v>
      </c>
      <c r="X37" s="137" t="str">
        <f>'2.Partial CFI'!AA6</f>
        <v>Permitted or yield control</v>
      </c>
      <c r="Y37" s="137">
        <f>'2.Partial CFI'!AB6</f>
        <v>1</v>
      </c>
      <c r="Z37" s="137">
        <f>'2.Partial CFI'!AC6</f>
        <v>0.5</v>
      </c>
      <c r="AA37" s="137">
        <f>'2.Partial CFI'!AD6</f>
        <v>1</v>
      </c>
      <c r="AB37" s="137" t="str">
        <f>'2.Partial CFI'!AE6</f>
        <v>NA</v>
      </c>
      <c r="AC37" s="137">
        <f>'2.Partial CFI'!AF6</f>
        <v>0</v>
      </c>
      <c r="AD37" s="137">
        <f>'2.Partial CFI'!AG6</f>
        <v>0</v>
      </c>
      <c r="AE37" s="137" t="str">
        <f>'2.Partial CFI'!AH6</f>
        <v>NA</v>
      </c>
      <c r="AF37" s="137">
        <f>'2.Partial CFI'!AI6</f>
        <v>0</v>
      </c>
      <c r="AG37" s="137">
        <f>'2.Partial CFI'!AJ6</f>
        <v>0</v>
      </c>
      <c r="AH37" s="137">
        <f>'2.Partial CFI'!AK6</f>
        <v>1</v>
      </c>
      <c r="AI37" s="137" t="str">
        <f>'2.Partial CFI'!AL6</f>
        <v>NA</v>
      </c>
      <c r="AJ37" s="137">
        <f>'2.Partial CFI'!AM6</f>
        <v>1</v>
      </c>
      <c r="AK37" s="138">
        <f>'2.Partial CFI'!AN6</f>
        <v>1</v>
      </c>
      <c r="AL37" s="633">
        <f>'2.Partial CFI'!AO6</f>
        <v>1</v>
      </c>
      <c r="AN37" s="626">
        <v>2</v>
      </c>
      <c r="AO37" s="626" t="s">
        <v>4</v>
      </c>
      <c r="AP37" s="113" t="s">
        <v>26</v>
      </c>
      <c r="AQ37" s="156">
        <f>'2.Partial CFI'!AR6</f>
        <v>51046875</v>
      </c>
      <c r="AR37" s="133">
        <f>'2.Partial CFI'!AS6</f>
        <v>4.5186791707345801E-6</v>
      </c>
      <c r="AS37" s="114">
        <f>'2.Partial CFI'!AT6</f>
        <v>1</v>
      </c>
      <c r="AT37" s="114">
        <f>'2.Partial CFI'!AU6</f>
        <v>1</v>
      </c>
      <c r="AU37" s="5">
        <f>'2.Partial CFI'!AV6</f>
        <v>230.66445079359175</v>
      </c>
      <c r="AV37" s="620">
        <f>'2.Partial CFI'!AW6</f>
        <v>3318265.9908819227</v>
      </c>
      <c r="AW37" s="620">
        <f>'2.Partial CFI'!AX6</f>
        <v>78.489196379118084</v>
      </c>
      <c r="AX37" s="623">
        <f>'2.Partial CFI'!AY6</f>
        <v>4.7836159264284985</v>
      </c>
    </row>
    <row r="38" spans="1:50" ht="18.75" x14ac:dyDescent="0.3">
      <c r="A38" s="655"/>
      <c r="B38" s="655"/>
      <c r="C38" s="185" t="s">
        <v>27</v>
      </c>
      <c r="D38" s="186" t="str">
        <f>'2.Partial CFI'!L7</f>
        <v>NBT*NBL</v>
      </c>
      <c r="E38" s="187">
        <f>'2.Partial CFI'!M7</f>
        <v>34031250</v>
      </c>
      <c r="F38" s="662"/>
      <c r="G38" s="655"/>
      <c r="I38" s="655"/>
      <c r="J38" s="655"/>
      <c r="K38" s="185" t="s">
        <v>27</v>
      </c>
      <c r="L38" s="186">
        <f>'2.Partial CFI'!Q7</f>
        <v>25</v>
      </c>
      <c r="M38" s="186">
        <f>'2.Partial CFI'!R7</f>
        <v>25</v>
      </c>
      <c r="N38" s="186">
        <f>'2.Partial CFI'!S7</f>
        <v>10</v>
      </c>
      <c r="O38" s="186">
        <f>'2.Partial CFI'!T7</f>
        <v>2.1788935686914574</v>
      </c>
      <c r="P38" s="186">
        <f>'2.Partial CFI'!U7</f>
        <v>2.2593421376807375E-6</v>
      </c>
      <c r="Q38" s="186">
        <f>'2.Partial CFI'!V7</f>
        <v>4.5186791707345801E-6</v>
      </c>
      <c r="R38" s="655"/>
      <c r="T38" s="627"/>
      <c r="U38" s="627"/>
      <c r="V38" s="73" t="s">
        <v>27</v>
      </c>
      <c r="W38" s="150" t="str">
        <f>'2.Partial CFI'!Z7</f>
        <v>D</v>
      </c>
      <c r="X38" s="134" t="str">
        <f>'2.Partial CFI'!AA7</f>
        <v>Permitted or yield control</v>
      </c>
      <c r="Y38" s="134">
        <f>'2.Partial CFI'!AB7</f>
        <v>1</v>
      </c>
      <c r="Z38" s="134">
        <f>'2.Partial CFI'!AC7</f>
        <v>0.5</v>
      </c>
      <c r="AA38" s="134">
        <f>'2.Partial CFI'!AD7</f>
        <v>1</v>
      </c>
      <c r="AB38" s="134" t="str">
        <f>'2.Partial CFI'!AE7</f>
        <v>NA</v>
      </c>
      <c r="AC38" s="134">
        <f>'2.Partial CFI'!AF7</f>
        <v>0</v>
      </c>
      <c r="AD38" s="134">
        <f>'2.Partial CFI'!AG7</f>
        <v>0</v>
      </c>
      <c r="AE38" s="134" t="str">
        <f>'2.Partial CFI'!AH7</f>
        <v>NA</v>
      </c>
      <c r="AF38" s="134">
        <f>'2.Partial CFI'!AI7</f>
        <v>0</v>
      </c>
      <c r="AG38" s="134">
        <f>'2.Partial CFI'!AJ7</f>
        <v>0</v>
      </c>
      <c r="AH38" s="134">
        <f>'2.Partial CFI'!AK7</f>
        <v>1</v>
      </c>
      <c r="AI38" s="134" t="str">
        <f>'2.Partial CFI'!AL7</f>
        <v>NA</v>
      </c>
      <c r="AJ38" s="134">
        <f>'2.Partial CFI'!AM7</f>
        <v>1</v>
      </c>
      <c r="AK38" s="140">
        <f>'2.Partial CFI'!AN7</f>
        <v>1</v>
      </c>
      <c r="AL38" s="634"/>
      <c r="AN38" s="627"/>
      <c r="AO38" s="627"/>
      <c r="AP38" s="115" t="s">
        <v>27</v>
      </c>
      <c r="AQ38" s="157">
        <f>'2.Partial CFI'!AR7</f>
        <v>34031250</v>
      </c>
      <c r="AR38" s="158">
        <f>'2.Partial CFI'!AS7</f>
        <v>4.5186791707345801E-6</v>
      </c>
      <c r="AS38" s="116">
        <f>'2.Partial CFI'!AT7</f>
        <v>1</v>
      </c>
      <c r="AT38" s="116">
        <f>'2.Partial CFI'!AU7</f>
        <v>1</v>
      </c>
      <c r="AU38" s="6">
        <f>'2.Partial CFI'!AV7</f>
        <v>153.77630052906119</v>
      </c>
      <c r="AV38" s="621"/>
      <c r="AW38" s="621"/>
      <c r="AX38" s="624"/>
    </row>
    <row r="39" spans="1:50" ht="18.75" x14ac:dyDescent="0.3">
      <c r="A39" s="655"/>
      <c r="B39" s="655"/>
      <c r="C39" s="190" t="s">
        <v>22</v>
      </c>
      <c r="D39" s="186" t="str">
        <f>'2.Partial CFI'!L8</f>
        <v>WBR*WBT</v>
      </c>
      <c r="E39" s="187">
        <f>'2.Partial CFI'!M8</f>
        <v>132031250</v>
      </c>
      <c r="F39" s="662"/>
      <c r="G39" s="655"/>
      <c r="I39" s="655"/>
      <c r="J39" s="655"/>
      <c r="K39" s="190" t="s">
        <v>22</v>
      </c>
      <c r="L39" s="186">
        <f>'2.Partial CFI'!Q8</f>
        <v>45</v>
      </c>
      <c r="M39" s="186">
        <f>'2.Partial CFI'!R8</f>
        <v>15</v>
      </c>
      <c r="N39" s="186">
        <f>'2.Partial CFI'!S8</f>
        <v>10</v>
      </c>
      <c r="O39" s="186">
        <f>'2.Partial CFI'!T8</f>
        <v>15.169950011729762</v>
      </c>
      <c r="P39" s="186">
        <f>'2.Partial CFI'!U8</f>
        <v>3.5318107578168117E-3</v>
      </c>
      <c r="Q39" s="186">
        <f>'2.Partial CFI'!V8</f>
        <v>7.051147828404593E-3</v>
      </c>
      <c r="R39" s="655"/>
      <c r="T39" s="627"/>
      <c r="U39" s="627"/>
      <c r="V39" s="74" t="s">
        <v>22</v>
      </c>
      <c r="W39" s="150" t="str">
        <f>'2.Partial CFI'!Z8</f>
        <v>D</v>
      </c>
      <c r="X39" s="134" t="str">
        <f>'2.Partial CFI'!AA8</f>
        <v>Permitted or yield control</v>
      </c>
      <c r="Y39" s="134">
        <f>'2.Partial CFI'!AB8</f>
        <v>1</v>
      </c>
      <c r="Z39" s="134">
        <f>'2.Partial CFI'!AC8</f>
        <v>0.5</v>
      </c>
      <c r="AA39" s="134">
        <f>'2.Partial CFI'!AD8</f>
        <v>1</v>
      </c>
      <c r="AB39" s="134" t="str">
        <f>'2.Partial CFI'!AE8</f>
        <v>NA</v>
      </c>
      <c r="AC39" s="134">
        <f>'2.Partial CFI'!AF8</f>
        <v>0</v>
      </c>
      <c r="AD39" s="134">
        <f>'2.Partial CFI'!AG8</f>
        <v>0</v>
      </c>
      <c r="AE39" s="134" t="str">
        <f>'2.Partial CFI'!AH8</f>
        <v>NA</v>
      </c>
      <c r="AF39" s="134">
        <f>'2.Partial CFI'!AI8</f>
        <v>0</v>
      </c>
      <c r="AG39" s="134">
        <f>'2.Partial CFI'!AJ8</f>
        <v>0</v>
      </c>
      <c r="AH39" s="134">
        <f>'2.Partial CFI'!AK8</f>
        <v>1</v>
      </c>
      <c r="AI39" s="134" t="str">
        <f>'2.Partial CFI'!AL8</f>
        <v>NA</v>
      </c>
      <c r="AJ39" s="134">
        <f>'2.Partial CFI'!AM8</f>
        <v>1</v>
      </c>
      <c r="AK39" s="140">
        <f>'2.Partial CFI'!AN8</f>
        <v>1</v>
      </c>
      <c r="AL39" s="634"/>
      <c r="AN39" s="627"/>
      <c r="AO39" s="627"/>
      <c r="AP39" s="117" t="s">
        <v>22</v>
      </c>
      <c r="AQ39" s="157">
        <f>'2.Partial CFI'!AR8</f>
        <v>132031250</v>
      </c>
      <c r="AR39" s="158">
        <f>'2.Partial CFI'!AS8</f>
        <v>7.051147828404593E-3</v>
      </c>
      <c r="AS39" s="116">
        <f>'2.Partial CFI'!AT8</f>
        <v>1</v>
      </c>
      <c r="AT39" s="116">
        <f>'2.Partial CFI'!AU8</f>
        <v>1</v>
      </c>
      <c r="AU39" s="6">
        <f>'2.Partial CFI'!AV8</f>
        <v>930971.86171904393</v>
      </c>
      <c r="AV39" s="621"/>
      <c r="AW39" s="621"/>
      <c r="AX39" s="624"/>
    </row>
    <row r="40" spans="1:50" ht="18.75" x14ac:dyDescent="0.3">
      <c r="A40" s="655"/>
      <c r="B40" s="655"/>
      <c r="C40" s="190" t="s">
        <v>20</v>
      </c>
      <c r="D40" s="186" t="str">
        <f>'2.Partial CFI'!L9</f>
        <v>(WBR+WBT)*WBL</v>
      </c>
      <c r="E40" s="187">
        <f>'2.Partial CFI'!M9</f>
        <v>198046875</v>
      </c>
      <c r="F40" s="662"/>
      <c r="G40" s="655"/>
      <c r="I40" s="655"/>
      <c r="J40" s="655"/>
      <c r="K40" s="190" t="s">
        <v>20</v>
      </c>
      <c r="L40" s="186">
        <f>'2.Partial CFI'!Q9</f>
        <v>45</v>
      </c>
      <c r="M40" s="186">
        <f>'2.Partial CFI'!R9</f>
        <v>20</v>
      </c>
      <c r="N40" s="186">
        <f>'2.Partial CFI'!S9</f>
        <v>10</v>
      </c>
      <c r="O40" s="186">
        <f>'2.Partial CFI'!T9</f>
        <v>12.77053292327718</v>
      </c>
      <c r="P40" s="186">
        <f>'2.Partial CFI'!U9</f>
        <v>1.8390760451277139E-3</v>
      </c>
      <c r="Q40" s="186">
        <f>'2.Partial CFI'!V9</f>
        <v>3.6747698895556653E-3</v>
      </c>
      <c r="R40" s="655"/>
      <c r="T40" s="627"/>
      <c r="U40" s="627"/>
      <c r="V40" s="74" t="s">
        <v>20</v>
      </c>
      <c r="W40" s="150" t="str">
        <f>'2.Partial CFI'!Z9</f>
        <v>D</v>
      </c>
      <c r="X40" s="134" t="str">
        <f>'2.Partial CFI'!AA9</f>
        <v>Permitted or yield control</v>
      </c>
      <c r="Y40" s="134">
        <f>'2.Partial CFI'!AB9</f>
        <v>1</v>
      </c>
      <c r="Z40" s="134">
        <f>'2.Partial CFI'!AC9</f>
        <v>0.5</v>
      </c>
      <c r="AA40" s="134">
        <f>'2.Partial CFI'!AD9</f>
        <v>1</v>
      </c>
      <c r="AB40" s="134" t="str">
        <f>'2.Partial CFI'!AE9</f>
        <v>NA</v>
      </c>
      <c r="AC40" s="134">
        <f>'2.Partial CFI'!AF9</f>
        <v>0</v>
      </c>
      <c r="AD40" s="134">
        <f>'2.Partial CFI'!AG9</f>
        <v>0</v>
      </c>
      <c r="AE40" s="134" t="str">
        <f>'2.Partial CFI'!AH9</f>
        <v>NA</v>
      </c>
      <c r="AF40" s="134">
        <f>'2.Partial CFI'!AI9</f>
        <v>0</v>
      </c>
      <c r="AG40" s="134">
        <f>'2.Partial CFI'!AJ9</f>
        <v>0</v>
      </c>
      <c r="AH40" s="134">
        <f>'2.Partial CFI'!AK9</f>
        <v>1</v>
      </c>
      <c r="AI40" s="134" t="str">
        <f>'2.Partial CFI'!AL9</f>
        <v>NA</v>
      </c>
      <c r="AJ40" s="134">
        <f>'2.Partial CFI'!AM9</f>
        <v>1</v>
      </c>
      <c r="AK40" s="140">
        <f>'2.Partial CFI'!AN9</f>
        <v>1</v>
      </c>
      <c r="AL40" s="634"/>
      <c r="AN40" s="627"/>
      <c r="AO40" s="627"/>
      <c r="AP40" s="117" t="s">
        <v>20</v>
      </c>
      <c r="AQ40" s="157">
        <f>'2.Partial CFI'!AR9</f>
        <v>198046875</v>
      </c>
      <c r="AR40" s="158">
        <f>'2.Partial CFI'!AS9</f>
        <v>3.6747698895556653E-3</v>
      </c>
      <c r="AS40" s="116">
        <f>'2.Partial CFI'!AT9</f>
        <v>1</v>
      </c>
      <c r="AT40" s="116">
        <f>'2.Partial CFI'!AU9</f>
        <v>1</v>
      </c>
      <c r="AU40" s="6">
        <f>'2.Partial CFI'!AV9</f>
        <v>727776.69297059462</v>
      </c>
      <c r="AV40" s="621"/>
      <c r="AW40" s="621"/>
      <c r="AX40" s="624"/>
    </row>
    <row r="41" spans="1:50" ht="18.75" x14ac:dyDescent="0.3">
      <c r="A41" s="655"/>
      <c r="B41" s="655"/>
      <c r="C41" s="190" t="s">
        <v>28</v>
      </c>
      <c r="D41" s="186" t="str">
        <f>'2.Partial CFI'!L10</f>
        <v>(SBR+SBT)*SBL</v>
      </c>
      <c r="E41" s="187">
        <f>'2.Partial CFI'!M10</f>
        <v>51046875</v>
      </c>
      <c r="F41" s="662"/>
      <c r="G41" s="655"/>
      <c r="I41" s="655"/>
      <c r="J41" s="655"/>
      <c r="K41" s="190" t="s">
        <v>28</v>
      </c>
      <c r="L41" s="186">
        <f>'2.Partial CFI'!Q10</f>
        <v>25</v>
      </c>
      <c r="M41" s="186">
        <f>'2.Partial CFI'!R10</f>
        <v>25</v>
      </c>
      <c r="N41" s="186">
        <f>'2.Partial CFI'!S10</f>
        <v>10</v>
      </c>
      <c r="O41" s="186">
        <f>'2.Partial CFI'!T10</f>
        <v>2.1788935686914574</v>
      </c>
      <c r="P41" s="186">
        <f>'2.Partial CFI'!U10</f>
        <v>2.2593421376807375E-6</v>
      </c>
      <c r="Q41" s="186">
        <f>'2.Partial CFI'!V10</f>
        <v>4.5186791707345801E-6</v>
      </c>
      <c r="R41" s="655"/>
      <c r="T41" s="627"/>
      <c r="U41" s="627"/>
      <c r="V41" s="74" t="s">
        <v>28</v>
      </c>
      <c r="W41" s="150" t="str">
        <f>'2.Partial CFI'!Z10</f>
        <v>D</v>
      </c>
      <c r="X41" s="134" t="str">
        <f>'2.Partial CFI'!AA10</f>
        <v>Permitted or yield control</v>
      </c>
      <c r="Y41" s="134">
        <f>'2.Partial CFI'!AB10</f>
        <v>1</v>
      </c>
      <c r="Z41" s="134">
        <f>'2.Partial CFI'!AC10</f>
        <v>0.5</v>
      </c>
      <c r="AA41" s="134">
        <f>'2.Partial CFI'!AD10</f>
        <v>1</v>
      </c>
      <c r="AB41" s="134" t="str">
        <f>'2.Partial CFI'!AE10</f>
        <v>NA</v>
      </c>
      <c r="AC41" s="134">
        <f>'2.Partial CFI'!AF10</f>
        <v>0</v>
      </c>
      <c r="AD41" s="134">
        <f>'2.Partial CFI'!AG10</f>
        <v>0</v>
      </c>
      <c r="AE41" s="134" t="str">
        <f>'2.Partial CFI'!AH10</f>
        <v>NA</v>
      </c>
      <c r="AF41" s="134">
        <f>'2.Partial CFI'!AI10</f>
        <v>0</v>
      </c>
      <c r="AG41" s="134">
        <f>'2.Partial CFI'!AJ10</f>
        <v>0</v>
      </c>
      <c r="AH41" s="134">
        <f>'2.Partial CFI'!AK10</f>
        <v>1</v>
      </c>
      <c r="AI41" s="134" t="str">
        <f>'2.Partial CFI'!AL10</f>
        <v>NA</v>
      </c>
      <c r="AJ41" s="134">
        <f>'2.Partial CFI'!AM10</f>
        <v>1</v>
      </c>
      <c r="AK41" s="140">
        <f>'2.Partial CFI'!AN10</f>
        <v>1</v>
      </c>
      <c r="AL41" s="634"/>
      <c r="AN41" s="627"/>
      <c r="AO41" s="627"/>
      <c r="AP41" s="117" t="s">
        <v>28</v>
      </c>
      <c r="AQ41" s="157">
        <f>'2.Partial CFI'!AR10</f>
        <v>51046875</v>
      </c>
      <c r="AR41" s="158">
        <f>'2.Partial CFI'!AS10</f>
        <v>4.5186791707345801E-6</v>
      </c>
      <c r="AS41" s="116">
        <f>'2.Partial CFI'!AT10</f>
        <v>1</v>
      </c>
      <c r="AT41" s="116">
        <f>'2.Partial CFI'!AU10</f>
        <v>1</v>
      </c>
      <c r="AU41" s="6">
        <f>'2.Partial CFI'!AV10</f>
        <v>230.66445079359175</v>
      </c>
      <c r="AV41" s="621"/>
      <c r="AW41" s="621"/>
      <c r="AX41" s="624"/>
    </row>
    <row r="42" spans="1:50" ht="18.75" x14ac:dyDescent="0.3">
      <c r="A42" s="655"/>
      <c r="B42" s="655"/>
      <c r="C42" s="190" t="s">
        <v>21</v>
      </c>
      <c r="D42" s="186" t="str">
        <f>'2.Partial CFI'!L11</f>
        <v>SBT*SBL</v>
      </c>
      <c r="E42" s="187">
        <f>'2.Partial CFI'!M11</f>
        <v>34031250</v>
      </c>
      <c r="F42" s="662"/>
      <c r="G42" s="655"/>
      <c r="I42" s="655"/>
      <c r="J42" s="655"/>
      <c r="K42" s="190" t="s">
        <v>21</v>
      </c>
      <c r="L42" s="186">
        <f>'2.Partial CFI'!Q11</f>
        <v>25</v>
      </c>
      <c r="M42" s="186">
        <f>'2.Partial CFI'!R11</f>
        <v>25</v>
      </c>
      <c r="N42" s="186">
        <f>'2.Partial CFI'!S11</f>
        <v>10</v>
      </c>
      <c r="O42" s="186">
        <f>'2.Partial CFI'!T11</f>
        <v>2.1788935686914574</v>
      </c>
      <c r="P42" s="186">
        <f>'2.Partial CFI'!U11</f>
        <v>2.2593421376807375E-6</v>
      </c>
      <c r="Q42" s="186">
        <f>'2.Partial CFI'!V11</f>
        <v>4.5186791707345801E-6</v>
      </c>
      <c r="R42" s="655"/>
      <c r="T42" s="627"/>
      <c r="U42" s="627"/>
      <c r="V42" s="74" t="s">
        <v>21</v>
      </c>
      <c r="W42" s="150" t="str">
        <f>'2.Partial CFI'!Z11</f>
        <v>D</v>
      </c>
      <c r="X42" s="134" t="str">
        <f>'2.Partial CFI'!AA11</f>
        <v>Permitted or yield control</v>
      </c>
      <c r="Y42" s="134">
        <f>'2.Partial CFI'!AB11</f>
        <v>1</v>
      </c>
      <c r="Z42" s="134">
        <f>'2.Partial CFI'!AC11</f>
        <v>0.5</v>
      </c>
      <c r="AA42" s="134">
        <f>'2.Partial CFI'!AD11</f>
        <v>1</v>
      </c>
      <c r="AB42" s="134" t="str">
        <f>'2.Partial CFI'!AE11</f>
        <v>NA</v>
      </c>
      <c r="AC42" s="134">
        <f>'2.Partial CFI'!AF11</f>
        <v>0</v>
      </c>
      <c r="AD42" s="134">
        <f>'2.Partial CFI'!AG11</f>
        <v>0</v>
      </c>
      <c r="AE42" s="134" t="str">
        <f>'2.Partial CFI'!AH11</f>
        <v>NA</v>
      </c>
      <c r="AF42" s="134">
        <f>'2.Partial CFI'!AI11</f>
        <v>0</v>
      </c>
      <c r="AG42" s="134">
        <f>'2.Partial CFI'!AJ11</f>
        <v>0</v>
      </c>
      <c r="AH42" s="134">
        <f>'2.Partial CFI'!AK11</f>
        <v>1</v>
      </c>
      <c r="AI42" s="134" t="str">
        <f>'2.Partial CFI'!AL11</f>
        <v>NA</v>
      </c>
      <c r="AJ42" s="134">
        <f>'2.Partial CFI'!AM11</f>
        <v>1</v>
      </c>
      <c r="AK42" s="140">
        <f>'2.Partial CFI'!AN11</f>
        <v>1</v>
      </c>
      <c r="AL42" s="634"/>
      <c r="AN42" s="627"/>
      <c r="AO42" s="627"/>
      <c r="AP42" s="117" t="s">
        <v>21</v>
      </c>
      <c r="AQ42" s="157">
        <f>'2.Partial CFI'!AR11</f>
        <v>34031250</v>
      </c>
      <c r="AR42" s="158">
        <f>'2.Partial CFI'!AS11</f>
        <v>4.5186791707345801E-6</v>
      </c>
      <c r="AS42" s="116">
        <f>'2.Partial CFI'!AT11</f>
        <v>1</v>
      </c>
      <c r="AT42" s="116">
        <f>'2.Partial CFI'!AU11</f>
        <v>1</v>
      </c>
      <c r="AU42" s="6">
        <f>'2.Partial CFI'!AV11</f>
        <v>153.77630052906119</v>
      </c>
      <c r="AV42" s="621"/>
      <c r="AW42" s="621"/>
      <c r="AX42" s="624"/>
    </row>
    <row r="43" spans="1:50" ht="18.75" x14ac:dyDescent="0.3">
      <c r="A43" s="655"/>
      <c r="B43" s="655"/>
      <c r="C43" s="190" t="s">
        <v>29</v>
      </c>
      <c r="D43" s="186" t="str">
        <f>'2.Partial CFI'!L12</f>
        <v>EBR*EBT</v>
      </c>
      <c r="E43" s="187">
        <f>'2.Partial CFI'!M12</f>
        <v>132031250</v>
      </c>
      <c r="F43" s="662"/>
      <c r="G43" s="655"/>
      <c r="I43" s="655"/>
      <c r="J43" s="655"/>
      <c r="K43" s="190" t="s">
        <v>29</v>
      </c>
      <c r="L43" s="186">
        <f>'2.Partial CFI'!Q12</f>
        <v>45</v>
      </c>
      <c r="M43" s="186">
        <f>'2.Partial CFI'!R12</f>
        <v>15</v>
      </c>
      <c r="N43" s="186">
        <f>'2.Partial CFI'!S12</f>
        <v>10</v>
      </c>
      <c r="O43" s="186">
        <f>'2.Partial CFI'!T12</f>
        <v>15.169950011729762</v>
      </c>
      <c r="P43" s="186">
        <f>'2.Partial CFI'!U12</f>
        <v>3.5318107578168117E-3</v>
      </c>
      <c r="Q43" s="186">
        <f>'2.Partial CFI'!V12</f>
        <v>7.051147828404593E-3</v>
      </c>
      <c r="R43" s="655"/>
      <c r="T43" s="627"/>
      <c r="U43" s="627"/>
      <c r="V43" s="74" t="s">
        <v>29</v>
      </c>
      <c r="W43" s="150" t="str">
        <f>'2.Partial CFI'!Z12</f>
        <v>D</v>
      </c>
      <c r="X43" s="134" t="str">
        <f>'2.Partial CFI'!AA12</f>
        <v>Permitted or yield control</v>
      </c>
      <c r="Y43" s="134">
        <f>'2.Partial CFI'!AB12</f>
        <v>1</v>
      </c>
      <c r="Z43" s="134">
        <f>'2.Partial CFI'!AC12</f>
        <v>0.5</v>
      </c>
      <c r="AA43" s="134">
        <f>'2.Partial CFI'!AD12</f>
        <v>1</v>
      </c>
      <c r="AB43" s="134" t="str">
        <f>'2.Partial CFI'!AE12</f>
        <v>NA</v>
      </c>
      <c r="AC43" s="134">
        <f>'2.Partial CFI'!AF12</f>
        <v>0</v>
      </c>
      <c r="AD43" s="134">
        <f>'2.Partial CFI'!AG12</f>
        <v>0</v>
      </c>
      <c r="AE43" s="134" t="str">
        <f>'2.Partial CFI'!AH12</f>
        <v>NA</v>
      </c>
      <c r="AF43" s="134">
        <f>'2.Partial CFI'!AI12</f>
        <v>0</v>
      </c>
      <c r="AG43" s="134">
        <f>'2.Partial CFI'!AJ12</f>
        <v>0</v>
      </c>
      <c r="AH43" s="134">
        <f>'2.Partial CFI'!AK12</f>
        <v>1</v>
      </c>
      <c r="AI43" s="134" t="str">
        <f>'2.Partial CFI'!AL12</f>
        <v>NA</v>
      </c>
      <c r="AJ43" s="134">
        <f>'2.Partial CFI'!AM12</f>
        <v>1</v>
      </c>
      <c r="AK43" s="140">
        <f>'2.Partial CFI'!AN12</f>
        <v>1</v>
      </c>
      <c r="AL43" s="634"/>
      <c r="AN43" s="627"/>
      <c r="AO43" s="627"/>
      <c r="AP43" s="117" t="s">
        <v>29</v>
      </c>
      <c r="AQ43" s="157">
        <f>'2.Partial CFI'!AR12</f>
        <v>132031250</v>
      </c>
      <c r="AR43" s="158">
        <f>'2.Partial CFI'!AS12</f>
        <v>7.051147828404593E-3</v>
      </c>
      <c r="AS43" s="116">
        <f>'2.Partial CFI'!AT12</f>
        <v>1</v>
      </c>
      <c r="AT43" s="116">
        <f>'2.Partial CFI'!AU12</f>
        <v>1</v>
      </c>
      <c r="AU43" s="6">
        <f>'2.Partial CFI'!AV12</f>
        <v>930971.86171904393</v>
      </c>
      <c r="AV43" s="621"/>
      <c r="AW43" s="621"/>
      <c r="AX43" s="624"/>
    </row>
    <row r="44" spans="1:50" ht="19.5" thickBot="1" x14ac:dyDescent="0.35">
      <c r="A44" s="655"/>
      <c r="B44" s="655"/>
      <c r="C44" s="191" t="s">
        <v>30</v>
      </c>
      <c r="D44" s="192" t="str">
        <f>'2.Partial CFI'!L13</f>
        <v>(EBR+EBT)*EBL</v>
      </c>
      <c r="E44" s="193">
        <f>'2.Partial CFI'!M13</f>
        <v>198046875</v>
      </c>
      <c r="F44" s="663"/>
      <c r="G44" s="656"/>
      <c r="I44" s="655"/>
      <c r="J44" s="655"/>
      <c r="K44" s="191" t="s">
        <v>30</v>
      </c>
      <c r="L44" s="192">
        <f>'2.Partial CFI'!Q13</f>
        <v>45</v>
      </c>
      <c r="M44" s="192">
        <f>'2.Partial CFI'!R13</f>
        <v>20</v>
      </c>
      <c r="N44" s="192">
        <f>'2.Partial CFI'!S13</f>
        <v>10</v>
      </c>
      <c r="O44" s="192">
        <f>'2.Partial CFI'!T13</f>
        <v>12.77053292327718</v>
      </c>
      <c r="P44" s="192">
        <f>'2.Partial CFI'!U13</f>
        <v>1.8390760451277139E-3</v>
      </c>
      <c r="Q44" s="192">
        <f>'2.Partial CFI'!V13</f>
        <v>3.6747698895556653E-3</v>
      </c>
      <c r="R44" s="656"/>
      <c r="T44" s="627"/>
      <c r="U44" s="627"/>
      <c r="V44" s="75" t="s">
        <v>30</v>
      </c>
      <c r="W44" s="150" t="str">
        <f>'2.Partial CFI'!Z13</f>
        <v>D</v>
      </c>
      <c r="X44" s="142" t="str">
        <f>'2.Partial CFI'!AA13</f>
        <v>Permitted or yield control</v>
      </c>
      <c r="Y44" s="142">
        <f>'2.Partial CFI'!AB13</f>
        <v>1</v>
      </c>
      <c r="Z44" s="142">
        <f>'2.Partial CFI'!AC13</f>
        <v>0.5</v>
      </c>
      <c r="AA44" s="142">
        <f>'2.Partial CFI'!AD13</f>
        <v>1</v>
      </c>
      <c r="AB44" s="142" t="str">
        <f>'2.Partial CFI'!AE13</f>
        <v>NA</v>
      </c>
      <c r="AC44" s="142">
        <f>'2.Partial CFI'!AF13</f>
        <v>0</v>
      </c>
      <c r="AD44" s="142">
        <f>'2.Partial CFI'!AG13</f>
        <v>0</v>
      </c>
      <c r="AE44" s="142" t="str">
        <f>'2.Partial CFI'!AH13</f>
        <v>NA</v>
      </c>
      <c r="AF44" s="142">
        <f>'2.Partial CFI'!AI13</f>
        <v>0</v>
      </c>
      <c r="AG44" s="142">
        <f>'2.Partial CFI'!AJ13</f>
        <v>0</v>
      </c>
      <c r="AH44" s="142">
        <f>'2.Partial CFI'!AK13</f>
        <v>1</v>
      </c>
      <c r="AI44" s="142" t="str">
        <f>'2.Partial CFI'!AL13</f>
        <v>NA</v>
      </c>
      <c r="AJ44" s="142">
        <f>'2.Partial CFI'!AM13</f>
        <v>1</v>
      </c>
      <c r="AK44" s="143">
        <f>'2.Partial CFI'!AN13</f>
        <v>1</v>
      </c>
      <c r="AL44" s="635"/>
      <c r="AN44" s="627"/>
      <c r="AO44" s="627"/>
      <c r="AP44" s="118" t="s">
        <v>30</v>
      </c>
      <c r="AQ44" s="159">
        <f>'2.Partial CFI'!AR13</f>
        <v>198046875</v>
      </c>
      <c r="AR44" s="160">
        <f>'2.Partial CFI'!AS13</f>
        <v>3.6747698895556653E-3</v>
      </c>
      <c r="AS44" s="119">
        <f>'2.Partial CFI'!AT13</f>
        <v>1</v>
      </c>
      <c r="AT44" s="119">
        <f>'2.Partial CFI'!AU13</f>
        <v>1</v>
      </c>
      <c r="AU44" s="7">
        <f>'2.Partial CFI'!AV13</f>
        <v>727776.69297059462</v>
      </c>
      <c r="AV44" s="622"/>
      <c r="AW44" s="622"/>
      <c r="AX44" s="624"/>
    </row>
    <row r="45" spans="1:50" ht="19.5" thickTop="1" x14ac:dyDescent="0.3">
      <c r="A45" s="655"/>
      <c r="B45" s="655"/>
      <c r="C45" s="196" t="s">
        <v>26</v>
      </c>
      <c r="D45" s="182" t="str">
        <f>'2.Partial CFI'!L14</f>
        <v>NBR*(EBT+SBL)</v>
      </c>
      <c r="E45" s="195">
        <f>'2.Partial CFI'!M14</f>
        <v>84046875</v>
      </c>
      <c r="F45" s="661">
        <f>SUM(E45:E52)</f>
        <v>702312500</v>
      </c>
      <c r="G45" s="654">
        <f>F45/F13</f>
        <v>1</v>
      </c>
      <c r="I45" s="655"/>
      <c r="J45" s="655"/>
      <c r="K45" s="196" t="s">
        <v>26</v>
      </c>
      <c r="L45" s="182">
        <f>'2.Partial CFI'!Q14</f>
        <v>45</v>
      </c>
      <c r="M45" s="182">
        <f>'2.Partial CFI'!R14</f>
        <v>25</v>
      </c>
      <c r="N45" s="182">
        <f>'2.Partial CFI'!S14</f>
        <v>45</v>
      </c>
      <c r="O45" s="182">
        <f>'2.Partial CFI'!T14</f>
        <v>16.271214938736659</v>
      </c>
      <c r="P45" s="182">
        <f>'2.Partial CFI'!U14</f>
        <v>4.6062682901169601E-3</v>
      </c>
      <c r="Q45" s="182">
        <f>'2.Partial CFI'!V14</f>
        <v>9.1913188726733836E-3</v>
      </c>
      <c r="R45" s="654">
        <f>'2.Partial CFI'!W14</f>
        <v>5.0690106147069352E-3</v>
      </c>
      <c r="T45" s="627"/>
      <c r="U45" s="627"/>
      <c r="V45" s="82" t="s">
        <v>26</v>
      </c>
      <c r="W45" s="147" t="str">
        <f>'2.Partial CFI'!Z14</f>
        <v>M</v>
      </c>
      <c r="X45" s="151" t="str">
        <f>'2.Partial CFI'!AA14</f>
        <v>Protected</v>
      </c>
      <c r="Y45" s="151">
        <f>'2.Partial CFI'!AB14</f>
        <v>0.01</v>
      </c>
      <c r="Z45" s="151">
        <f>'2.Partial CFI'!AC14</f>
        <v>0.5</v>
      </c>
      <c r="AA45" s="151">
        <f>'2.Partial CFI'!AD14</f>
        <v>0.505</v>
      </c>
      <c r="AB45" s="151">
        <f>'2.Partial CFI'!AE14</f>
        <v>0</v>
      </c>
      <c r="AC45" s="151">
        <f>'2.Partial CFI'!AF14</f>
        <v>0</v>
      </c>
      <c r="AD45" s="151">
        <f>'2.Partial CFI'!AG14</f>
        <v>1</v>
      </c>
      <c r="AE45" s="151" t="str">
        <f>'2.Partial CFI'!AH14</f>
        <v>EBT</v>
      </c>
      <c r="AF45" s="151">
        <f>'2.Partial CFI'!AI14</f>
        <v>2</v>
      </c>
      <c r="AG45" s="151">
        <f>'2.Partial CFI'!AJ14</f>
        <v>1.75</v>
      </c>
      <c r="AH45" s="151">
        <f>'2.Partial CFI'!AK14</f>
        <v>1.75</v>
      </c>
      <c r="AI45" s="151">
        <f>'2.Partial CFI'!AL14</f>
        <v>45</v>
      </c>
      <c r="AJ45" s="151">
        <f>'2.Partial CFI'!AM14</f>
        <v>0.83333333333333326</v>
      </c>
      <c r="AK45" s="152">
        <f>'2.Partial CFI'!AN14</f>
        <v>0.73645833333333333</v>
      </c>
      <c r="AL45" s="633">
        <f>'2.Partial CFI'!AO14</f>
        <v>1.5255208333333332</v>
      </c>
      <c r="AN45" s="627"/>
      <c r="AO45" s="627"/>
      <c r="AP45" s="126" t="s">
        <v>26</v>
      </c>
      <c r="AQ45" s="156">
        <f>'2.Partial CFI'!AR14</f>
        <v>84046875</v>
      </c>
      <c r="AR45" s="133">
        <f>'2.Partial CFI'!AS14</f>
        <v>9.1913188726733836E-3</v>
      </c>
      <c r="AS45" s="114">
        <f>'2.Partial CFI'!AT14</f>
        <v>0.73645833333333333</v>
      </c>
      <c r="AT45" s="114">
        <f>'2.Partial CFI'!AU14</f>
        <v>1</v>
      </c>
      <c r="AU45" s="5">
        <f>'2.Partial CFI'!AV14</f>
        <v>568915.26173160586</v>
      </c>
      <c r="AV45" s="620">
        <f>'2.Partial CFI'!AW14</f>
        <v>4239775.4440279342</v>
      </c>
      <c r="AW45" s="620">
        <f>'2.Partial CFI'!AX14</f>
        <v>73.38338340326942</v>
      </c>
      <c r="AX45" s="624"/>
    </row>
    <row r="46" spans="1:50" ht="18.75" x14ac:dyDescent="0.3">
      <c r="A46" s="655"/>
      <c r="B46" s="655"/>
      <c r="C46" s="197" t="s">
        <v>27</v>
      </c>
      <c r="D46" s="186" t="str">
        <f>'2.Partial CFI'!L15</f>
        <v>EBT*SBL</v>
      </c>
      <c r="E46" s="187">
        <f>'2.Partial CFI'!M15</f>
        <v>67031250</v>
      </c>
      <c r="F46" s="662"/>
      <c r="G46" s="655"/>
      <c r="I46" s="655"/>
      <c r="J46" s="655"/>
      <c r="K46" s="197" t="s">
        <v>27</v>
      </c>
      <c r="L46" s="186">
        <f>'2.Partial CFI'!Q15</f>
        <v>45</v>
      </c>
      <c r="M46" s="186">
        <f>'2.Partial CFI'!R15</f>
        <v>25</v>
      </c>
      <c r="N46" s="186">
        <f>'2.Partial CFI'!S15</f>
        <v>45</v>
      </c>
      <c r="O46" s="186">
        <f>'2.Partial CFI'!T15</f>
        <v>16.271214938736659</v>
      </c>
      <c r="P46" s="186">
        <f>'2.Partial CFI'!U15</f>
        <v>4.6062682901169601E-3</v>
      </c>
      <c r="Q46" s="186">
        <f>'2.Partial CFI'!V15</f>
        <v>9.1913188726733836E-3</v>
      </c>
      <c r="R46" s="655"/>
      <c r="T46" s="627"/>
      <c r="U46" s="627"/>
      <c r="V46" s="77" t="s">
        <v>27</v>
      </c>
      <c r="W46" s="148" t="str">
        <f>'2.Partial CFI'!Z15</f>
        <v>M</v>
      </c>
      <c r="X46" s="134" t="str">
        <f>'2.Partial CFI'!AA15</f>
        <v>Protected</v>
      </c>
      <c r="Y46" s="134">
        <f>'2.Partial CFI'!AB15</f>
        <v>0.01</v>
      </c>
      <c r="Z46" s="134">
        <f>'2.Partial CFI'!AC15</f>
        <v>0.5</v>
      </c>
      <c r="AA46" s="134">
        <f>'2.Partial CFI'!AD15</f>
        <v>0.505</v>
      </c>
      <c r="AB46" s="134" t="str">
        <f>'2.Partial CFI'!AE15</f>
        <v>NBT+WBT</v>
      </c>
      <c r="AC46" s="134">
        <f>'2.Partial CFI'!AF15</f>
        <v>3</v>
      </c>
      <c r="AD46" s="134">
        <f>'2.Partial CFI'!AG15</f>
        <v>1</v>
      </c>
      <c r="AE46" s="134" t="str">
        <f>'2.Partial CFI'!AH15</f>
        <v>EBT</v>
      </c>
      <c r="AF46" s="134">
        <f>'2.Partial CFI'!AI15</f>
        <v>2</v>
      </c>
      <c r="AG46" s="134">
        <f>'2.Partial CFI'!AJ15</f>
        <v>1.75</v>
      </c>
      <c r="AH46" s="134">
        <f>'2.Partial CFI'!AK15</f>
        <v>4.75</v>
      </c>
      <c r="AI46" s="134">
        <f>'2.Partial CFI'!AL15</f>
        <v>45</v>
      </c>
      <c r="AJ46" s="134">
        <f>'2.Partial CFI'!AM15</f>
        <v>0.83333333333333326</v>
      </c>
      <c r="AK46" s="140">
        <f>'2.Partial CFI'!AN15</f>
        <v>1.9989583333333334</v>
      </c>
      <c r="AL46" s="634"/>
      <c r="AN46" s="627"/>
      <c r="AO46" s="627"/>
      <c r="AP46" s="121" t="s">
        <v>27</v>
      </c>
      <c r="AQ46" s="157">
        <f>'2.Partial CFI'!AR15</f>
        <v>67031250</v>
      </c>
      <c r="AR46" s="158">
        <f>'2.Partial CFI'!AS15</f>
        <v>9.1913188726733836E-3</v>
      </c>
      <c r="AS46" s="116">
        <f>'2.Partial CFI'!AT15</f>
        <v>1.9989583333333334</v>
      </c>
      <c r="AT46" s="116">
        <f>'2.Partial CFI'!AU15</f>
        <v>1</v>
      </c>
      <c r="AU46" s="6">
        <f>'2.Partial CFI'!AV15</f>
        <v>1231569.4097082091</v>
      </c>
      <c r="AV46" s="621"/>
      <c r="AW46" s="621"/>
      <c r="AX46" s="624"/>
    </row>
    <row r="47" spans="1:50" ht="18.75" x14ac:dyDescent="0.3">
      <c r="A47" s="655"/>
      <c r="B47" s="655"/>
      <c r="C47" s="197" t="s">
        <v>22</v>
      </c>
      <c r="D47" s="186" t="str">
        <f>'2.Partial CFI'!L16</f>
        <v>EBL*NBT</v>
      </c>
      <c r="E47" s="187">
        <f>'2.Partial CFI'!M16</f>
        <v>67031250</v>
      </c>
      <c r="F47" s="662"/>
      <c r="G47" s="655"/>
      <c r="I47" s="655"/>
      <c r="J47" s="655"/>
      <c r="K47" s="197" t="s">
        <v>22</v>
      </c>
      <c r="L47" s="186">
        <f>'2.Partial CFI'!Q16</f>
        <v>20</v>
      </c>
      <c r="M47" s="186">
        <f>'2.Partial CFI'!R16</f>
        <v>25</v>
      </c>
      <c r="N47" s="186">
        <f>'2.Partial CFI'!S16</f>
        <v>45</v>
      </c>
      <c r="O47" s="186">
        <f>'2.Partial CFI'!T16</f>
        <v>8.9147801264732891</v>
      </c>
      <c r="P47" s="186">
        <f>'2.Partial CFI'!U16</f>
        <v>4.7096302149683109E-4</v>
      </c>
      <c r="Q47" s="186">
        <f>'2.Partial CFI'!V16</f>
        <v>9.417042368260448E-4</v>
      </c>
      <c r="R47" s="655"/>
      <c r="T47" s="627"/>
      <c r="U47" s="627"/>
      <c r="V47" s="77" t="s">
        <v>22</v>
      </c>
      <c r="W47" s="148" t="str">
        <f>'2.Partial CFI'!Z16</f>
        <v>M</v>
      </c>
      <c r="X47" s="134" t="str">
        <f>'2.Partial CFI'!AA16</f>
        <v>Protected</v>
      </c>
      <c r="Y47" s="134">
        <f>'2.Partial CFI'!AB16</f>
        <v>0.01</v>
      </c>
      <c r="Z47" s="134">
        <f>'2.Partial CFI'!AC16</f>
        <v>0.5</v>
      </c>
      <c r="AA47" s="134">
        <f>'2.Partial CFI'!AD16</f>
        <v>0.505</v>
      </c>
      <c r="AB47" s="134" t="str">
        <f>'2.Partial CFI'!AE16</f>
        <v>EBT+WBT</v>
      </c>
      <c r="AC47" s="134">
        <f>'2.Partial CFI'!AF16</f>
        <v>4</v>
      </c>
      <c r="AD47" s="134">
        <f>'2.Partial CFI'!AG16</f>
        <v>0</v>
      </c>
      <c r="AE47" s="134" t="str">
        <f>'2.Partial CFI'!AH16</f>
        <v>NBT</v>
      </c>
      <c r="AF47" s="134">
        <f>'2.Partial CFI'!AI16</f>
        <v>1</v>
      </c>
      <c r="AG47" s="134">
        <f>'2.Partial CFI'!AJ16</f>
        <v>0</v>
      </c>
      <c r="AH47" s="134">
        <f>'2.Partial CFI'!AK16</f>
        <v>4</v>
      </c>
      <c r="AI47" s="134">
        <f>'2.Partial CFI'!AL16</f>
        <v>45</v>
      </c>
      <c r="AJ47" s="134">
        <f>'2.Partial CFI'!AM16</f>
        <v>0.83333333333333326</v>
      </c>
      <c r="AK47" s="140">
        <f>'2.Partial CFI'!AN16</f>
        <v>1.6833333333333331</v>
      </c>
      <c r="AL47" s="634"/>
      <c r="AN47" s="627"/>
      <c r="AO47" s="627"/>
      <c r="AP47" s="121" t="s">
        <v>22</v>
      </c>
      <c r="AQ47" s="157">
        <f>'2.Partial CFI'!AR16</f>
        <v>67031250</v>
      </c>
      <c r="AR47" s="158">
        <f>'2.Partial CFI'!AS16</f>
        <v>9.417042368260448E-4</v>
      </c>
      <c r="AS47" s="116">
        <f>'2.Partial CFI'!AT16</f>
        <v>1.6833333333333331</v>
      </c>
      <c r="AT47" s="116">
        <f>'2.Partial CFI'!AU16</f>
        <v>1</v>
      </c>
      <c r="AU47" s="6">
        <f>'2.Partial CFI'!AV16</f>
        <v>106258.08040998878</v>
      </c>
      <c r="AV47" s="621"/>
      <c r="AW47" s="621"/>
      <c r="AX47" s="624"/>
    </row>
    <row r="48" spans="1:50" ht="19.5" thickTop="1" x14ac:dyDescent="0.3">
      <c r="A48" s="655"/>
      <c r="B48" s="655"/>
      <c r="C48" s="197" t="s">
        <v>20</v>
      </c>
      <c r="D48" s="186" t="str">
        <f>'2.Partial CFI'!L17</f>
        <v>(EBL+NBT)*WBR</v>
      </c>
      <c r="E48" s="187">
        <f>'2.Partial CFI'!M17</f>
        <v>133046875</v>
      </c>
      <c r="F48" s="662"/>
      <c r="G48" s="655"/>
      <c r="I48" s="655"/>
      <c r="J48" s="655"/>
      <c r="K48" s="197" t="s">
        <v>20</v>
      </c>
      <c r="L48" s="186">
        <f>'2.Partial CFI'!Q17</f>
        <v>15</v>
      </c>
      <c r="M48" s="186">
        <f>'2.Partial CFI'!R17</f>
        <v>25</v>
      </c>
      <c r="N48" s="186">
        <f>'2.Partial CFI'!S17</f>
        <v>45</v>
      </c>
      <c r="O48" s="186">
        <f>'2.Partial CFI'!T17</f>
        <v>8.9396576292116645</v>
      </c>
      <c r="P48" s="186">
        <f>'2.Partial CFI'!U17</f>
        <v>4.7596350895839364E-4</v>
      </c>
      <c r="Q48" s="186">
        <f>'2.Partial CFI'!V17</f>
        <v>9.5170047665492732E-4</v>
      </c>
      <c r="R48" s="655"/>
      <c r="T48" s="627"/>
      <c r="U48" s="627"/>
      <c r="V48" s="77" t="s">
        <v>20</v>
      </c>
      <c r="W48" s="148" t="str">
        <f>'2.Partial CFI'!Z17</f>
        <v>M</v>
      </c>
      <c r="X48" s="134" t="str">
        <f>'2.Partial CFI'!AA17</f>
        <v>Protected</v>
      </c>
      <c r="Y48" s="134">
        <f>'2.Partial CFI'!AB17</f>
        <v>0.01</v>
      </c>
      <c r="Z48" s="134">
        <f>'2.Partial CFI'!AC17</f>
        <v>0.5</v>
      </c>
      <c r="AA48" s="134">
        <f>'2.Partial CFI'!AD17</f>
        <v>0.505</v>
      </c>
      <c r="AB48" s="134" t="str">
        <f>'2.Partial CFI'!AE17</f>
        <v>EBT+WBT</v>
      </c>
      <c r="AC48" s="134">
        <f>'2.Partial CFI'!AF17</f>
        <v>4</v>
      </c>
      <c r="AD48" s="134">
        <f>'2.Partial CFI'!AG17</f>
        <v>0</v>
      </c>
      <c r="AE48" s="134" t="str">
        <f>'2.Partial CFI'!AH17</f>
        <v>NBT</v>
      </c>
      <c r="AF48" s="134">
        <f>'2.Partial CFI'!AI17</f>
        <v>1</v>
      </c>
      <c r="AG48" s="134">
        <f>'2.Partial CFI'!AJ17</f>
        <v>0</v>
      </c>
      <c r="AH48" s="134">
        <f>'2.Partial CFI'!AK17</f>
        <v>4</v>
      </c>
      <c r="AI48" s="134">
        <f>'2.Partial CFI'!AL17</f>
        <v>45</v>
      </c>
      <c r="AJ48" s="134">
        <f>'2.Partial CFI'!AM17</f>
        <v>0.83333333333333326</v>
      </c>
      <c r="AK48" s="140">
        <f>'2.Partial CFI'!AN17</f>
        <v>1.6833333333333331</v>
      </c>
      <c r="AL48" s="634"/>
      <c r="AN48" s="627"/>
      <c r="AO48" s="627"/>
      <c r="AP48" s="121" t="s">
        <v>20</v>
      </c>
      <c r="AQ48" s="157">
        <f>'2.Partial CFI'!AR17</f>
        <v>133046875</v>
      </c>
      <c r="AR48" s="158">
        <f>'2.Partial CFI'!AS17</f>
        <v>9.5170047665492732E-4</v>
      </c>
      <c r="AS48" s="116">
        <f>'2.Partial CFI'!AT17</f>
        <v>1.6833333333333331</v>
      </c>
      <c r="AT48" s="116">
        <f>'2.Partial CFI'!AU17</f>
        <v>1</v>
      </c>
      <c r="AU48" s="6">
        <f>'2.Partial CFI'!AV17</f>
        <v>213144.97016416333</v>
      </c>
      <c r="AV48" s="621"/>
      <c r="AW48" s="621"/>
      <c r="AX48" s="624"/>
    </row>
    <row r="49" spans="1:50" ht="18.75" x14ac:dyDescent="0.3">
      <c r="A49" s="655"/>
      <c r="B49" s="655"/>
      <c r="C49" s="197" t="s">
        <v>28</v>
      </c>
      <c r="D49" s="186" t="str">
        <f>'2.Partial CFI'!L18</f>
        <v>SBR*(WBT+NBL)</v>
      </c>
      <c r="E49" s="187">
        <f>'2.Partial CFI'!M18</f>
        <v>84046875</v>
      </c>
      <c r="F49" s="662"/>
      <c r="G49" s="655"/>
      <c r="I49" s="655"/>
      <c r="J49" s="655"/>
      <c r="K49" s="197" t="s">
        <v>28</v>
      </c>
      <c r="L49" s="186">
        <f>'2.Partial CFI'!Q18</f>
        <v>45</v>
      </c>
      <c r="M49" s="186">
        <f>'2.Partial CFI'!R18</f>
        <v>25</v>
      </c>
      <c r="N49" s="186">
        <f>'2.Partial CFI'!S18</f>
        <v>45</v>
      </c>
      <c r="O49" s="186">
        <f>'2.Partial CFI'!T18</f>
        <v>16.271214938736659</v>
      </c>
      <c r="P49" s="186">
        <f>'2.Partial CFI'!U18</f>
        <v>4.6062682901169601E-3</v>
      </c>
      <c r="Q49" s="186">
        <f>'2.Partial CFI'!V18</f>
        <v>9.1913188726733836E-3</v>
      </c>
      <c r="R49" s="655"/>
      <c r="T49" s="627"/>
      <c r="U49" s="627"/>
      <c r="V49" s="77" t="s">
        <v>28</v>
      </c>
      <c r="W49" s="148" t="str">
        <f>'2.Partial CFI'!Z18</f>
        <v>M</v>
      </c>
      <c r="X49" s="134" t="str">
        <f>'2.Partial CFI'!AA18</f>
        <v>Protected</v>
      </c>
      <c r="Y49" s="134">
        <f>'2.Partial CFI'!AB18</f>
        <v>0.01</v>
      </c>
      <c r="Z49" s="134">
        <f>'2.Partial CFI'!AC18</f>
        <v>0.5</v>
      </c>
      <c r="AA49" s="134">
        <f>'2.Partial CFI'!AD18</f>
        <v>0.505</v>
      </c>
      <c r="AB49" s="134">
        <f>'2.Partial CFI'!AE18</f>
        <v>0</v>
      </c>
      <c r="AC49" s="134">
        <f>'2.Partial CFI'!AF18</f>
        <v>0</v>
      </c>
      <c r="AD49" s="134">
        <f>'2.Partial CFI'!AG18</f>
        <v>1</v>
      </c>
      <c r="AE49" s="134" t="str">
        <f>'2.Partial CFI'!AH18</f>
        <v>WBT</v>
      </c>
      <c r="AF49" s="134">
        <f>'2.Partial CFI'!AI18</f>
        <v>2</v>
      </c>
      <c r="AG49" s="134">
        <f>'2.Partial CFI'!AJ18</f>
        <v>1.75</v>
      </c>
      <c r="AH49" s="134">
        <f>'2.Partial CFI'!AK18</f>
        <v>1.75</v>
      </c>
      <c r="AI49" s="134">
        <f>'2.Partial CFI'!AL18</f>
        <v>45</v>
      </c>
      <c r="AJ49" s="134">
        <f>'2.Partial CFI'!AM18</f>
        <v>0.83333333333333326</v>
      </c>
      <c r="AK49" s="140">
        <f>'2.Partial CFI'!AN18</f>
        <v>0.73645833333333333</v>
      </c>
      <c r="AL49" s="634"/>
      <c r="AN49" s="627"/>
      <c r="AO49" s="627"/>
      <c r="AP49" s="121" t="s">
        <v>28</v>
      </c>
      <c r="AQ49" s="157">
        <f>'2.Partial CFI'!AR18</f>
        <v>84046875</v>
      </c>
      <c r="AR49" s="158">
        <f>'2.Partial CFI'!AS18</f>
        <v>9.1913188726733836E-3</v>
      </c>
      <c r="AS49" s="116">
        <f>'2.Partial CFI'!AT18</f>
        <v>0.73645833333333333</v>
      </c>
      <c r="AT49" s="116">
        <f>'2.Partial CFI'!AU18</f>
        <v>1</v>
      </c>
      <c r="AU49" s="6">
        <f>'2.Partial CFI'!AV18</f>
        <v>568915.26173160586</v>
      </c>
      <c r="AV49" s="621"/>
      <c r="AW49" s="621"/>
      <c r="AX49" s="624"/>
    </row>
    <row r="50" spans="1:50" ht="18.75" x14ac:dyDescent="0.3">
      <c r="A50" s="655"/>
      <c r="B50" s="655"/>
      <c r="C50" s="197" t="s">
        <v>21</v>
      </c>
      <c r="D50" s="186" t="str">
        <f>'2.Partial CFI'!L19</f>
        <v>WBT*NBL</v>
      </c>
      <c r="E50" s="187">
        <f>'2.Partial CFI'!M19</f>
        <v>67031250</v>
      </c>
      <c r="F50" s="662"/>
      <c r="G50" s="655"/>
      <c r="I50" s="655"/>
      <c r="J50" s="655"/>
      <c r="K50" s="197" t="s">
        <v>21</v>
      </c>
      <c r="L50" s="186">
        <f>'2.Partial CFI'!Q19</f>
        <v>45</v>
      </c>
      <c r="M50" s="186">
        <f>'2.Partial CFI'!R19</f>
        <v>25</v>
      </c>
      <c r="N50" s="186">
        <f>'2.Partial CFI'!S19</f>
        <v>45</v>
      </c>
      <c r="O50" s="186">
        <f>'2.Partial CFI'!T19</f>
        <v>16.271214938736659</v>
      </c>
      <c r="P50" s="186">
        <f>'2.Partial CFI'!U19</f>
        <v>4.6062682901169601E-3</v>
      </c>
      <c r="Q50" s="186">
        <f>'2.Partial CFI'!V19</f>
        <v>9.1913188726733836E-3</v>
      </c>
      <c r="R50" s="655"/>
      <c r="T50" s="627"/>
      <c r="U50" s="627"/>
      <c r="V50" s="77" t="s">
        <v>21</v>
      </c>
      <c r="W50" s="148" t="str">
        <f>'2.Partial CFI'!Z19</f>
        <v>M</v>
      </c>
      <c r="X50" s="134" t="str">
        <f>'2.Partial CFI'!AA19</f>
        <v>Protected</v>
      </c>
      <c r="Y50" s="134">
        <f>'2.Partial CFI'!AB19</f>
        <v>0.01</v>
      </c>
      <c r="Z50" s="134">
        <f>'2.Partial CFI'!AC19</f>
        <v>0.5</v>
      </c>
      <c r="AA50" s="134">
        <f>'2.Partial CFI'!AD19</f>
        <v>0.505</v>
      </c>
      <c r="AB50" s="134" t="str">
        <f>'2.Partial CFI'!AE19</f>
        <v>SBT+EBT</v>
      </c>
      <c r="AC50" s="134">
        <f>'2.Partial CFI'!AF19</f>
        <v>3</v>
      </c>
      <c r="AD50" s="134">
        <f>'2.Partial CFI'!AG19</f>
        <v>1</v>
      </c>
      <c r="AE50" s="134" t="str">
        <f>'2.Partial CFI'!AH19</f>
        <v>WBT</v>
      </c>
      <c r="AF50" s="134">
        <f>'2.Partial CFI'!AI19</f>
        <v>2</v>
      </c>
      <c r="AG50" s="134">
        <f>'2.Partial CFI'!AJ19</f>
        <v>1.75</v>
      </c>
      <c r="AH50" s="134">
        <f>'2.Partial CFI'!AK19</f>
        <v>4.75</v>
      </c>
      <c r="AI50" s="134">
        <f>'2.Partial CFI'!AL19</f>
        <v>45</v>
      </c>
      <c r="AJ50" s="134">
        <f>'2.Partial CFI'!AM19</f>
        <v>0.83333333333333326</v>
      </c>
      <c r="AK50" s="140">
        <f>'2.Partial CFI'!AN19</f>
        <v>1.9989583333333334</v>
      </c>
      <c r="AL50" s="634"/>
      <c r="AN50" s="627"/>
      <c r="AO50" s="627"/>
      <c r="AP50" s="121" t="s">
        <v>21</v>
      </c>
      <c r="AQ50" s="157">
        <f>'2.Partial CFI'!AR19</f>
        <v>67031250</v>
      </c>
      <c r="AR50" s="158">
        <f>'2.Partial CFI'!AS19</f>
        <v>9.1913188726733836E-3</v>
      </c>
      <c r="AS50" s="116">
        <f>'2.Partial CFI'!AT19</f>
        <v>1.9989583333333334</v>
      </c>
      <c r="AT50" s="116">
        <f>'2.Partial CFI'!AU19</f>
        <v>1</v>
      </c>
      <c r="AU50" s="6">
        <f>'2.Partial CFI'!AV19</f>
        <v>1231569.4097082091</v>
      </c>
      <c r="AV50" s="621"/>
      <c r="AW50" s="621"/>
      <c r="AX50" s="624"/>
    </row>
    <row r="51" spans="1:50" ht="18.75" x14ac:dyDescent="0.3">
      <c r="A51" s="655"/>
      <c r="B51" s="655"/>
      <c r="C51" s="197" t="s">
        <v>29</v>
      </c>
      <c r="D51" s="186" t="str">
        <f>'2.Partial CFI'!L20</f>
        <v>WBL*SBT</v>
      </c>
      <c r="E51" s="187">
        <f>'2.Partial CFI'!M20</f>
        <v>67031250</v>
      </c>
      <c r="F51" s="662"/>
      <c r="G51" s="655"/>
      <c r="I51" s="655"/>
      <c r="J51" s="655"/>
      <c r="K51" s="197" t="s">
        <v>29</v>
      </c>
      <c r="L51" s="186">
        <f>'2.Partial CFI'!Q20</f>
        <v>20</v>
      </c>
      <c r="M51" s="186">
        <f>'2.Partial CFI'!R20</f>
        <v>25</v>
      </c>
      <c r="N51" s="186">
        <f>'2.Partial CFI'!S20</f>
        <v>45</v>
      </c>
      <c r="O51" s="186">
        <f>'2.Partial CFI'!T20</f>
        <v>8.9147801264732891</v>
      </c>
      <c r="P51" s="186">
        <f>'2.Partial CFI'!U20</f>
        <v>4.7096302149683109E-4</v>
      </c>
      <c r="Q51" s="186">
        <f>'2.Partial CFI'!V20</f>
        <v>9.417042368260448E-4</v>
      </c>
      <c r="R51" s="655"/>
      <c r="T51" s="627"/>
      <c r="U51" s="627"/>
      <c r="V51" s="77" t="s">
        <v>29</v>
      </c>
      <c r="W51" s="148" t="str">
        <f>'2.Partial CFI'!Z20</f>
        <v>M</v>
      </c>
      <c r="X51" s="134" t="str">
        <f>'2.Partial CFI'!AA20</f>
        <v>Protected</v>
      </c>
      <c r="Y51" s="134">
        <f>'2.Partial CFI'!AB20</f>
        <v>0.01</v>
      </c>
      <c r="Z51" s="134">
        <f>'2.Partial CFI'!AC20</f>
        <v>0.5</v>
      </c>
      <c r="AA51" s="134">
        <f>'2.Partial CFI'!AD20</f>
        <v>0.505</v>
      </c>
      <c r="AB51" s="134" t="str">
        <f>'2.Partial CFI'!AE20</f>
        <v>WBT+EBT</v>
      </c>
      <c r="AC51" s="134">
        <f>'2.Partial CFI'!AF20</f>
        <v>4</v>
      </c>
      <c r="AD51" s="134">
        <f>'2.Partial CFI'!AG20</f>
        <v>0</v>
      </c>
      <c r="AE51" s="134" t="str">
        <f>'2.Partial CFI'!AH20</f>
        <v>SBT</v>
      </c>
      <c r="AF51" s="134">
        <f>'2.Partial CFI'!AI20</f>
        <v>1</v>
      </c>
      <c r="AG51" s="134">
        <f>'2.Partial CFI'!AJ20</f>
        <v>0</v>
      </c>
      <c r="AH51" s="134">
        <f>'2.Partial CFI'!AK20</f>
        <v>4</v>
      </c>
      <c r="AI51" s="134">
        <f>'2.Partial CFI'!AL20</f>
        <v>45</v>
      </c>
      <c r="AJ51" s="134">
        <f>'2.Partial CFI'!AM20</f>
        <v>0.83333333333333326</v>
      </c>
      <c r="AK51" s="140">
        <f>'2.Partial CFI'!AN20</f>
        <v>1.6833333333333331</v>
      </c>
      <c r="AL51" s="634"/>
      <c r="AN51" s="627"/>
      <c r="AO51" s="627"/>
      <c r="AP51" s="121" t="s">
        <v>29</v>
      </c>
      <c r="AQ51" s="157">
        <f>'2.Partial CFI'!AR20</f>
        <v>67031250</v>
      </c>
      <c r="AR51" s="158">
        <f>'2.Partial CFI'!AS20</f>
        <v>9.417042368260448E-4</v>
      </c>
      <c r="AS51" s="116">
        <f>'2.Partial CFI'!AT20</f>
        <v>1.6833333333333331</v>
      </c>
      <c r="AT51" s="116">
        <f>'2.Partial CFI'!AU20</f>
        <v>1</v>
      </c>
      <c r="AU51" s="6">
        <f>'2.Partial CFI'!AV20</f>
        <v>106258.08040998878</v>
      </c>
      <c r="AV51" s="621"/>
      <c r="AW51" s="621"/>
      <c r="AX51" s="624"/>
    </row>
    <row r="52" spans="1:50" ht="19.5" thickBot="1" x14ac:dyDescent="0.35">
      <c r="A52" s="655"/>
      <c r="B52" s="655"/>
      <c r="C52" s="198" t="s">
        <v>30</v>
      </c>
      <c r="D52" s="192" t="str">
        <f>'2.Partial CFI'!L21</f>
        <v>(WBL+SBT)*EBR</v>
      </c>
      <c r="E52" s="193">
        <f>'2.Partial CFI'!M21</f>
        <v>133046875</v>
      </c>
      <c r="F52" s="663"/>
      <c r="G52" s="656"/>
      <c r="I52" s="655"/>
      <c r="J52" s="655"/>
      <c r="K52" s="198" t="s">
        <v>30</v>
      </c>
      <c r="L52" s="192">
        <f>'2.Partial CFI'!Q21</f>
        <v>15</v>
      </c>
      <c r="M52" s="192">
        <f>'2.Partial CFI'!R21</f>
        <v>25</v>
      </c>
      <c r="N52" s="192">
        <f>'2.Partial CFI'!S21</f>
        <v>45</v>
      </c>
      <c r="O52" s="192">
        <f>'2.Partial CFI'!T21</f>
        <v>8.9396576292116645</v>
      </c>
      <c r="P52" s="192">
        <f>'2.Partial CFI'!U21</f>
        <v>4.7596350895839364E-4</v>
      </c>
      <c r="Q52" s="192">
        <f>'2.Partial CFI'!V21</f>
        <v>9.5170047665492732E-4</v>
      </c>
      <c r="R52" s="656"/>
      <c r="T52" s="627"/>
      <c r="U52" s="627"/>
      <c r="V52" s="78" t="s">
        <v>30</v>
      </c>
      <c r="W52" s="148" t="str">
        <f>'2.Partial CFI'!Z21</f>
        <v>M</v>
      </c>
      <c r="X52" s="153" t="str">
        <f>'2.Partial CFI'!AA21</f>
        <v>Protected</v>
      </c>
      <c r="Y52" s="153">
        <f>'2.Partial CFI'!AB21</f>
        <v>0.01</v>
      </c>
      <c r="Z52" s="153">
        <f>'2.Partial CFI'!AC21</f>
        <v>0.5</v>
      </c>
      <c r="AA52" s="153">
        <f>'2.Partial CFI'!AD21</f>
        <v>0.505</v>
      </c>
      <c r="AB52" s="153" t="str">
        <f>'2.Partial CFI'!AE21</f>
        <v>WBT+EBT</v>
      </c>
      <c r="AC52" s="153">
        <f>'2.Partial CFI'!AF21</f>
        <v>4</v>
      </c>
      <c r="AD52" s="153">
        <f>'2.Partial CFI'!AG21</f>
        <v>0</v>
      </c>
      <c r="AE52" s="153" t="str">
        <f>'2.Partial CFI'!AH21</f>
        <v>SBT</v>
      </c>
      <c r="AF52" s="153">
        <f>'2.Partial CFI'!AI21</f>
        <v>1</v>
      </c>
      <c r="AG52" s="153">
        <f>'2.Partial CFI'!AJ21</f>
        <v>0</v>
      </c>
      <c r="AH52" s="153">
        <f>'2.Partial CFI'!AK21</f>
        <v>4</v>
      </c>
      <c r="AI52" s="153">
        <f>'2.Partial CFI'!AL21</f>
        <v>45</v>
      </c>
      <c r="AJ52" s="153">
        <f>'2.Partial CFI'!AM21</f>
        <v>0.83333333333333326</v>
      </c>
      <c r="AK52" s="154">
        <f>'2.Partial CFI'!AN21</f>
        <v>1.6833333333333331</v>
      </c>
      <c r="AL52" s="635"/>
      <c r="AN52" s="627"/>
      <c r="AO52" s="627"/>
      <c r="AP52" s="122" t="s">
        <v>30</v>
      </c>
      <c r="AQ52" s="159">
        <f>'2.Partial CFI'!AR21</f>
        <v>133046875</v>
      </c>
      <c r="AR52" s="160">
        <f>'2.Partial CFI'!AS21</f>
        <v>9.5170047665492732E-4</v>
      </c>
      <c r="AS52" s="119">
        <f>'2.Partial CFI'!AT21</f>
        <v>1.6833333333333331</v>
      </c>
      <c r="AT52" s="119">
        <f>'2.Partial CFI'!AU21</f>
        <v>1</v>
      </c>
      <c r="AU52" s="7">
        <f>'2.Partial CFI'!AV21</f>
        <v>213144.97016416333</v>
      </c>
      <c r="AV52" s="622"/>
      <c r="AW52" s="622"/>
      <c r="AX52" s="624"/>
    </row>
    <row r="53" spans="1:50" ht="19.5" thickTop="1" x14ac:dyDescent="0.3">
      <c r="A53" s="655"/>
      <c r="B53" s="655"/>
      <c r="C53" s="199" t="s">
        <v>26</v>
      </c>
      <c r="D53" s="182" t="str">
        <f>'2.Partial CFI'!L22</f>
        <v>NBT*EBT</v>
      </c>
      <c r="E53" s="195">
        <f>'2.Partial CFI'!M22</f>
        <v>134062500</v>
      </c>
      <c r="F53" s="661">
        <f>SUM(E53:E66)</f>
        <v>1270562500</v>
      </c>
      <c r="G53" s="654">
        <f>F53/F21</f>
        <v>1</v>
      </c>
      <c r="I53" s="655"/>
      <c r="J53" s="655"/>
      <c r="K53" s="199" t="s">
        <v>26</v>
      </c>
      <c r="L53" s="201">
        <f>'2.Partial CFI'!Q22</f>
        <v>45</v>
      </c>
      <c r="M53" s="201">
        <f>'2.Partial CFI'!R22</f>
        <v>15</v>
      </c>
      <c r="N53" s="201">
        <f>'2.Partial CFI'!S22</f>
        <v>270</v>
      </c>
      <c r="O53" s="201">
        <f>'2.Partial CFI'!T22</f>
        <v>23.717082451262847</v>
      </c>
      <c r="P53" s="201">
        <f>'2.Partial CFI'!U22</f>
        <v>1.9210987348136605E-2</v>
      </c>
      <c r="Q53" s="201">
        <f>'2.Partial CFI'!V22</f>
        <v>3.8052912661382943E-2</v>
      </c>
      <c r="R53" s="654">
        <f>'2.Partial CFI'!W22</f>
        <v>4.1171059676162761E-2</v>
      </c>
      <c r="T53" s="627"/>
      <c r="U53" s="627"/>
      <c r="V53" s="79" t="s">
        <v>26</v>
      </c>
      <c r="W53" s="147" t="str">
        <f>'2.Partial CFI'!Z22</f>
        <v>C</v>
      </c>
      <c r="X53" s="137" t="str">
        <f>'2.Partial CFI'!AA22</f>
        <v xml:space="preserve">Protected </v>
      </c>
      <c r="Y53" s="137">
        <f>'2.Partial CFI'!AB22</f>
        <v>0.01</v>
      </c>
      <c r="Z53" s="137">
        <f>'2.Partial CFI'!AC22</f>
        <v>0.5</v>
      </c>
      <c r="AA53" s="137">
        <f>'2.Partial CFI'!AD22</f>
        <v>0.505</v>
      </c>
      <c r="AB53" s="137" t="str">
        <f>'2.Partial CFI'!AE22</f>
        <v>EBT+WBT</v>
      </c>
      <c r="AC53" s="137">
        <f>'2.Partial CFI'!AF22</f>
        <v>4</v>
      </c>
      <c r="AD53" s="137">
        <f>'2.Partial CFI'!AG22</f>
        <v>0</v>
      </c>
      <c r="AE53" s="137" t="str">
        <f>'2.Partial CFI'!AH22</f>
        <v>NBT</v>
      </c>
      <c r="AF53" s="137">
        <f>'2.Partial CFI'!AI22</f>
        <v>1</v>
      </c>
      <c r="AG53" s="137">
        <f>'2.Partial CFI'!AJ22</f>
        <v>0</v>
      </c>
      <c r="AH53" s="137">
        <f>'2.Partial CFI'!AK22</f>
        <v>4</v>
      </c>
      <c r="AI53" s="137">
        <f>'2.Partial CFI'!AL22</f>
        <v>45</v>
      </c>
      <c r="AJ53" s="137">
        <f>'2.Partial CFI'!AM22</f>
        <v>0.83333333333333326</v>
      </c>
      <c r="AK53" s="138">
        <f>'2.Partial CFI'!AN22</f>
        <v>1.6833333333333331</v>
      </c>
      <c r="AL53" s="633">
        <f>'2.Partial CFI'!AO22</f>
        <v>1.7133928571428572</v>
      </c>
      <c r="AN53" s="627"/>
      <c r="AO53" s="627"/>
      <c r="AP53" s="123" t="s">
        <v>26</v>
      </c>
      <c r="AQ53" s="156">
        <f>'2.Partial CFI'!AR22</f>
        <v>134062500</v>
      </c>
      <c r="AR53" s="133">
        <f>'2.Partial CFI'!AS22</f>
        <v>3.8052912661382943E-2</v>
      </c>
      <c r="AS53" s="114">
        <f>'2.Partial CFI'!AT22</f>
        <v>1.6833333333333331</v>
      </c>
      <c r="AT53" s="114">
        <f>'2.Partial CFI'!AU22</f>
        <v>1</v>
      </c>
      <c r="AU53" s="5">
        <f>'2.Partial CFI'!AV22</f>
        <v>8587472.1495055277</v>
      </c>
      <c r="AV53" s="620">
        <f>'2.Partial CFI'!AW22</f>
        <v>117384867.58613172</v>
      </c>
      <c r="AW53" s="620">
        <f>'2.Partial CFI'!AX22</f>
        <v>1.900471212569874E-2</v>
      </c>
      <c r="AX53" s="624"/>
    </row>
    <row r="54" spans="1:50" ht="18.75" x14ac:dyDescent="0.3">
      <c r="A54" s="655"/>
      <c r="B54" s="655"/>
      <c r="C54" s="202" t="s">
        <v>27</v>
      </c>
      <c r="D54" s="186" t="str">
        <f>'2.Partial CFI'!L23</f>
        <v>NBT*WBT</v>
      </c>
      <c r="E54" s="187">
        <f>'2.Partial CFI'!M23</f>
        <v>134062500</v>
      </c>
      <c r="F54" s="662"/>
      <c r="G54" s="655"/>
      <c r="I54" s="655"/>
      <c r="J54" s="655"/>
      <c r="K54" s="202" t="s">
        <v>27</v>
      </c>
      <c r="L54" s="186">
        <f>'2.Partial CFI'!Q23</f>
        <v>45</v>
      </c>
      <c r="M54" s="186">
        <f>'2.Partial CFI'!R23</f>
        <v>25</v>
      </c>
      <c r="N54" s="186">
        <f>'2.Partial CFI'!S23</f>
        <v>270</v>
      </c>
      <c r="O54" s="186">
        <f>'2.Partial CFI'!T23</f>
        <v>25.739075352467502</v>
      </c>
      <c r="P54" s="186">
        <f>'2.Partial CFI'!U23</f>
        <v>2.6194779393934508E-2</v>
      </c>
      <c r="Q54" s="186">
        <f>'2.Partial CFI'!V23</f>
        <v>5.1703392320372119E-2</v>
      </c>
      <c r="R54" s="655"/>
      <c r="T54" s="627"/>
      <c r="U54" s="627"/>
      <c r="V54" s="80" t="s">
        <v>27</v>
      </c>
      <c r="W54" s="148" t="str">
        <f>'2.Partial CFI'!Z23</f>
        <v>C</v>
      </c>
      <c r="X54" s="134" t="str">
        <f>'2.Partial CFI'!AA23</f>
        <v xml:space="preserve">Protected </v>
      </c>
      <c r="Y54" s="134">
        <f>'2.Partial CFI'!AB23</f>
        <v>0.01</v>
      </c>
      <c r="Z54" s="134">
        <f>'2.Partial CFI'!AC23</f>
        <v>0.5</v>
      </c>
      <c r="AA54" s="134">
        <f>'2.Partial CFI'!AD23</f>
        <v>0.505</v>
      </c>
      <c r="AB54" s="134" t="str">
        <f>'2.Partial CFI'!AE23</f>
        <v>EBT+WBT</v>
      </c>
      <c r="AC54" s="134">
        <f>'2.Partial CFI'!AF23</f>
        <v>4</v>
      </c>
      <c r="AD54" s="134">
        <f>'2.Partial CFI'!AG23</f>
        <v>0</v>
      </c>
      <c r="AE54" s="134" t="str">
        <f>'2.Partial CFI'!AH23</f>
        <v>NBT</v>
      </c>
      <c r="AF54" s="134">
        <f>'2.Partial CFI'!AI23</f>
        <v>1</v>
      </c>
      <c r="AG54" s="134">
        <f>'2.Partial CFI'!AJ23</f>
        <v>0</v>
      </c>
      <c r="AH54" s="134">
        <f>'2.Partial CFI'!AK23</f>
        <v>4</v>
      </c>
      <c r="AI54" s="134">
        <f>'2.Partial CFI'!AL23</f>
        <v>45</v>
      </c>
      <c r="AJ54" s="134">
        <f>'2.Partial CFI'!AM23</f>
        <v>0.83333333333333326</v>
      </c>
      <c r="AK54" s="140">
        <f>'2.Partial CFI'!AN23</f>
        <v>1.6833333333333331</v>
      </c>
      <c r="AL54" s="634"/>
      <c r="AN54" s="627"/>
      <c r="AO54" s="627"/>
      <c r="AP54" s="124" t="s">
        <v>27</v>
      </c>
      <c r="AQ54" s="157">
        <f>'2.Partial CFI'!AR23</f>
        <v>134062500</v>
      </c>
      <c r="AR54" s="158">
        <f>'2.Partial CFI'!AS23</f>
        <v>5.1703392320372119E-2</v>
      </c>
      <c r="AS54" s="116">
        <f>'2.Partial CFI'!AT23</f>
        <v>1.6833333333333331</v>
      </c>
      <c r="AT54" s="116">
        <f>'2.Partial CFI'!AU23</f>
        <v>1</v>
      </c>
      <c r="AU54" s="6">
        <f>'2.Partial CFI'!AV23</f>
        <v>11668001.488798976</v>
      </c>
      <c r="AV54" s="621"/>
      <c r="AW54" s="621"/>
      <c r="AX54" s="624"/>
    </row>
    <row r="55" spans="1:50" ht="18.75" x14ac:dyDescent="0.3">
      <c r="A55" s="655"/>
      <c r="B55" s="655"/>
      <c r="C55" s="202" t="s">
        <v>22</v>
      </c>
      <c r="D55" s="186" t="str">
        <f>'2.Partial CFI'!L24</f>
        <v>SBT*WBT</v>
      </c>
      <c r="E55" s="187">
        <f>'2.Partial CFI'!M24</f>
        <v>134062500</v>
      </c>
      <c r="F55" s="662"/>
      <c r="G55" s="655"/>
      <c r="I55" s="655"/>
      <c r="J55" s="655"/>
      <c r="K55" s="202" t="s">
        <v>22</v>
      </c>
      <c r="L55" s="186">
        <f>'2.Partial CFI'!Q24</f>
        <v>45</v>
      </c>
      <c r="M55" s="186">
        <f>'2.Partial CFI'!R24</f>
        <v>25</v>
      </c>
      <c r="N55" s="186">
        <f>'2.Partial CFI'!S24</f>
        <v>270</v>
      </c>
      <c r="O55" s="186">
        <f>'2.Partial CFI'!T24</f>
        <v>25.739075352467502</v>
      </c>
      <c r="P55" s="186">
        <f>'2.Partial CFI'!U24</f>
        <v>2.6194779393934508E-2</v>
      </c>
      <c r="Q55" s="186">
        <f>'2.Partial CFI'!V24</f>
        <v>5.1703392320372119E-2</v>
      </c>
      <c r="R55" s="655"/>
      <c r="T55" s="627"/>
      <c r="U55" s="627"/>
      <c r="V55" s="80" t="s">
        <v>22</v>
      </c>
      <c r="W55" s="148" t="str">
        <f>'2.Partial CFI'!Z24</f>
        <v>C</v>
      </c>
      <c r="X55" s="134" t="str">
        <f>'2.Partial CFI'!AA24</f>
        <v xml:space="preserve">Protected </v>
      </c>
      <c r="Y55" s="134">
        <f>'2.Partial CFI'!AB24</f>
        <v>0.01</v>
      </c>
      <c r="Z55" s="134">
        <f>'2.Partial CFI'!AC24</f>
        <v>0.5</v>
      </c>
      <c r="AA55" s="134">
        <f>'2.Partial CFI'!AD24</f>
        <v>0.505</v>
      </c>
      <c r="AB55" s="134" t="str">
        <f>'2.Partial CFI'!AE24</f>
        <v>WBT+EBT</v>
      </c>
      <c r="AC55" s="134">
        <f>'2.Partial CFI'!AF24</f>
        <v>4</v>
      </c>
      <c r="AD55" s="134">
        <f>'2.Partial CFI'!AG24</f>
        <v>0</v>
      </c>
      <c r="AE55" s="134" t="str">
        <f>'2.Partial CFI'!AH24</f>
        <v>SBT</v>
      </c>
      <c r="AF55" s="134">
        <f>'2.Partial CFI'!AI24</f>
        <v>1</v>
      </c>
      <c r="AG55" s="134">
        <f>'2.Partial CFI'!AJ24</f>
        <v>0</v>
      </c>
      <c r="AH55" s="134">
        <f>'2.Partial CFI'!AK24</f>
        <v>4</v>
      </c>
      <c r="AI55" s="134">
        <f>'2.Partial CFI'!AL24</f>
        <v>45</v>
      </c>
      <c r="AJ55" s="134">
        <f>'2.Partial CFI'!AM24</f>
        <v>0.83333333333333326</v>
      </c>
      <c r="AK55" s="140">
        <f>'2.Partial CFI'!AN24</f>
        <v>1.6833333333333331</v>
      </c>
      <c r="AL55" s="634"/>
      <c r="AN55" s="627"/>
      <c r="AO55" s="627"/>
      <c r="AP55" s="124" t="s">
        <v>22</v>
      </c>
      <c r="AQ55" s="157">
        <f>'2.Partial CFI'!AR24</f>
        <v>134062500</v>
      </c>
      <c r="AR55" s="158">
        <f>'2.Partial CFI'!AS24</f>
        <v>5.1703392320372119E-2</v>
      </c>
      <c r="AS55" s="116">
        <f>'2.Partial CFI'!AT24</f>
        <v>1.6833333333333331</v>
      </c>
      <c r="AT55" s="116">
        <f>'2.Partial CFI'!AU24</f>
        <v>1</v>
      </c>
      <c r="AU55" s="6">
        <f>'2.Partial CFI'!AV24</f>
        <v>11668001.488798976</v>
      </c>
      <c r="AV55" s="621"/>
      <c r="AW55" s="621"/>
      <c r="AX55" s="624"/>
    </row>
    <row r="56" spans="1:50" ht="18.75" x14ac:dyDescent="0.3">
      <c r="A56" s="655"/>
      <c r="B56" s="655"/>
      <c r="C56" s="202" t="s">
        <v>20</v>
      </c>
      <c r="D56" s="186" t="str">
        <f>'2.Partial CFI'!L25</f>
        <v>EBT*SBT</v>
      </c>
      <c r="E56" s="187">
        <f>'2.Partial CFI'!M25</f>
        <v>134062500</v>
      </c>
      <c r="F56" s="662"/>
      <c r="G56" s="655"/>
      <c r="I56" s="655"/>
      <c r="J56" s="655"/>
      <c r="K56" s="202" t="s">
        <v>20</v>
      </c>
      <c r="L56" s="186">
        <f>'2.Partial CFI'!Q25</f>
        <v>45</v>
      </c>
      <c r="M56" s="186">
        <f>'2.Partial CFI'!R25</f>
        <v>25</v>
      </c>
      <c r="N56" s="186">
        <f>'2.Partial CFI'!S25</f>
        <v>270</v>
      </c>
      <c r="O56" s="186">
        <f>'2.Partial CFI'!T25</f>
        <v>25.739075352467502</v>
      </c>
      <c r="P56" s="186">
        <f>'2.Partial CFI'!U25</f>
        <v>2.6194779393934508E-2</v>
      </c>
      <c r="Q56" s="186">
        <f>'2.Partial CFI'!V25</f>
        <v>5.1703392320372119E-2</v>
      </c>
      <c r="R56" s="655"/>
      <c r="T56" s="627"/>
      <c r="U56" s="627"/>
      <c r="V56" s="80" t="s">
        <v>20</v>
      </c>
      <c r="W56" s="148" t="str">
        <f>'2.Partial CFI'!Z25</f>
        <v>C</v>
      </c>
      <c r="X56" s="134" t="str">
        <f>'2.Partial CFI'!AA25</f>
        <v xml:space="preserve">Protected </v>
      </c>
      <c r="Y56" s="134">
        <f>'2.Partial CFI'!AB25</f>
        <v>0.01</v>
      </c>
      <c r="Z56" s="134">
        <f>'2.Partial CFI'!AC25</f>
        <v>0.5</v>
      </c>
      <c r="AA56" s="134">
        <f>'2.Partial CFI'!AD25</f>
        <v>0.505</v>
      </c>
      <c r="AB56" s="134" t="str">
        <f>'2.Partial CFI'!AE25</f>
        <v>WBT+EBT</v>
      </c>
      <c r="AC56" s="134">
        <f>'2.Partial CFI'!AF25</f>
        <v>4</v>
      </c>
      <c r="AD56" s="134">
        <f>'2.Partial CFI'!AG25</f>
        <v>0</v>
      </c>
      <c r="AE56" s="134" t="str">
        <f>'2.Partial CFI'!AH25</f>
        <v>SBT</v>
      </c>
      <c r="AF56" s="134">
        <f>'2.Partial CFI'!AI25</f>
        <v>1</v>
      </c>
      <c r="AG56" s="134">
        <f>'2.Partial CFI'!AJ25</f>
        <v>0</v>
      </c>
      <c r="AH56" s="134">
        <f>'2.Partial CFI'!AK25</f>
        <v>4</v>
      </c>
      <c r="AI56" s="134">
        <f>'2.Partial CFI'!AL25</f>
        <v>45</v>
      </c>
      <c r="AJ56" s="134">
        <f>'2.Partial CFI'!AM25</f>
        <v>0.83333333333333326</v>
      </c>
      <c r="AK56" s="140">
        <f>'2.Partial CFI'!AN25</f>
        <v>1.6833333333333331</v>
      </c>
      <c r="AL56" s="634"/>
      <c r="AN56" s="627"/>
      <c r="AO56" s="627"/>
      <c r="AP56" s="124" t="s">
        <v>20</v>
      </c>
      <c r="AQ56" s="157">
        <f>'2.Partial CFI'!AR25</f>
        <v>134062500</v>
      </c>
      <c r="AR56" s="158">
        <f>'2.Partial CFI'!AS25</f>
        <v>5.1703392320372119E-2</v>
      </c>
      <c r="AS56" s="116">
        <f>'2.Partial CFI'!AT25</f>
        <v>1.6833333333333331</v>
      </c>
      <c r="AT56" s="116">
        <f>'2.Partial CFI'!AU25</f>
        <v>1</v>
      </c>
      <c r="AU56" s="6">
        <f>'2.Partial CFI'!AV25</f>
        <v>11668001.488798976</v>
      </c>
      <c r="AV56" s="621"/>
      <c r="AW56" s="621"/>
      <c r="AX56" s="624"/>
    </row>
    <row r="57" spans="1:50" ht="18.75" x14ac:dyDescent="0.3">
      <c r="A57" s="655"/>
      <c r="B57" s="655"/>
      <c r="C57" s="202" t="s">
        <v>28</v>
      </c>
      <c r="D57" s="186" t="str">
        <f>'2.Partial CFI'!L26</f>
        <v>NBL*SBT</v>
      </c>
      <c r="E57" s="187">
        <f>'2.Partial CFI'!M26</f>
        <v>34031250</v>
      </c>
      <c r="F57" s="662"/>
      <c r="G57" s="655"/>
      <c r="I57" s="655"/>
      <c r="J57" s="655"/>
      <c r="K57" s="202" t="s">
        <v>28</v>
      </c>
      <c r="L57" s="186">
        <f>'2.Partial CFI'!Q26</f>
        <v>15</v>
      </c>
      <c r="M57" s="186">
        <f>'2.Partial CFI'!R26</f>
        <v>25</v>
      </c>
      <c r="N57" s="186">
        <f>'2.Partial CFI'!S26</f>
        <v>230</v>
      </c>
      <c r="O57" s="186">
        <f>'2.Partial CFI'!T26</f>
        <v>18.248908921254063</v>
      </c>
      <c r="P57" s="186">
        <f>'2.Partial CFI'!U26</f>
        <v>7.1146798558078322E-3</v>
      </c>
      <c r="Q57" s="186">
        <f>'2.Partial CFI'!V26</f>
        <v>1.4178741042165027E-2</v>
      </c>
      <c r="R57" s="655"/>
      <c r="T57" s="627"/>
      <c r="U57" s="627"/>
      <c r="V57" s="80" t="s">
        <v>28</v>
      </c>
      <c r="W57" s="148" t="str">
        <f>'2.Partial CFI'!Z26</f>
        <v>C</v>
      </c>
      <c r="X57" s="134" t="str">
        <f>'2.Partial CFI'!AA26</f>
        <v xml:space="preserve">Protected </v>
      </c>
      <c r="Y57" s="134">
        <f>'2.Partial CFI'!AB26</f>
        <v>0.01</v>
      </c>
      <c r="Z57" s="134">
        <f>'2.Partial CFI'!AC26</f>
        <v>0.5</v>
      </c>
      <c r="AA57" s="134">
        <f>'2.Partial CFI'!AD26</f>
        <v>0.505</v>
      </c>
      <c r="AB57" s="134" t="str">
        <f>'2.Partial CFI'!AE26</f>
        <v>SBT+EBT</v>
      </c>
      <c r="AC57" s="134">
        <f>'2.Partial CFI'!AF26</f>
        <v>3</v>
      </c>
      <c r="AD57" s="134">
        <f>'2.Partial CFI'!AG26</f>
        <v>1</v>
      </c>
      <c r="AE57" s="134" t="str">
        <f>'2.Partial CFI'!AH26</f>
        <v>WBT</v>
      </c>
      <c r="AF57" s="134">
        <f>'2.Partial CFI'!AI26</f>
        <v>2</v>
      </c>
      <c r="AG57" s="134">
        <f>'2.Partial CFI'!AJ26</f>
        <v>1.75</v>
      </c>
      <c r="AH57" s="134">
        <f>'2.Partial CFI'!AK26</f>
        <v>4.75</v>
      </c>
      <c r="AI57" s="134">
        <f>'2.Partial CFI'!AL26</f>
        <v>45</v>
      </c>
      <c r="AJ57" s="134">
        <f>'2.Partial CFI'!AM26</f>
        <v>0.83333333333333326</v>
      </c>
      <c r="AK57" s="140">
        <f>'2.Partial CFI'!AN26</f>
        <v>1.9989583333333334</v>
      </c>
      <c r="AL57" s="634"/>
      <c r="AN57" s="627"/>
      <c r="AO57" s="627"/>
      <c r="AP57" s="124" t="s">
        <v>28</v>
      </c>
      <c r="AQ57" s="157">
        <f>'2.Partial CFI'!AR26</f>
        <v>34031250</v>
      </c>
      <c r="AR57" s="158">
        <f>'2.Partial CFI'!AS26</f>
        <v>1.4178741042165027E-2</v>
      </c>
      <c r="AS57" s="116">
        <f>'2.Partial CFI'!AT26</f>
        <v>1.9989583333333334</v>
      </c>
      <c r="AT57" s="116">
        <f>'2.Partial CFI'!AU26</f>
        <v>1</v>
      </c>
      <c r="AU57" s="6">
        <f>'2.Partial CFI'!AV26</f>
        <v>964537.93688955379</v>
      </c>
      <c r="AV57" s="621"/>
      <c r="AW57" s="621"/>
      <c r="AX57" s="624"/>
    </row>
    <row r="58" spans="1:50" ht="18.75" x14ac:dyDescent="0.3">
      <c r="A58" s="655"/>
      <c r="B58" s="655"/>
      <c r="C58" s="202" t="s">
        <v>21</v>
      </c>
      <c r="D58" s="186" t="str">
        <f>'2.Partial CFI'!L27</f>
        <v>NBL*EBT</v>
      </c>
      <c r="E58" s="187">
        <f>'2.Partial CFI'!M27</f>
        <v>67031250</v>
      </c>
      <c r="F58" s="662"/>
      <c r="G58" s="655"/>
      <c r="I58" s="655"/>
      <c r="J58" s="655"/>
      <c r="K58" s="202" t="s">
        <v>21</v>
      </c>
      <c r="L58" s="186">
        <f>'2.Partial CFI'!Q27</f>
        <v>45</v>
      </c>
      <c r="M58" s="186">
        <f>'2.Partial CFI'!R27</f>
        <v>15</v>
      </c>
      <c r="N58" s="186">
        <f>'2.Partial CFI'!S27</f>
        <v>230</v>
      </c>
      <c r="O58" s="186">
        <f>'2.Partial CFI'!T27</f>
        <v>27.918467333813421</v>
      </c>
      <c r="P58" s="186">
        <f>'2.Partial CFI'!U27</f>
        <v>3.5644830871376348E-2</v>
      </c>
      <c r="Q58" s="186">
        <f>'2.Partial CFI'!V27</f>
        <v>7.0019107774903666E-2</v>
      </c>
      <c r="R58" s="655"/>
      <c r="T58" s="627"/>
      <c r="U58" s="627"/>
      <c r="V58" s="80" t="s">
        <v>21</v>
      </c>
      <c r="W58" s="148" t="str">
        <f>'2.Partial CFI'!Z27</f>
        <v>C</v>
      </c>
      <c r="X58" s="134" t="str">
        <f>'2.Partial CFI'!AA27</f>
        <v xml:space="preserve">Protected </v>
      </c>
      <c r="Y58" s="134">
        <f>'2.Partial CFI'!AB27</f>
        <v>0.01</v>
      </c>
      <c r="Z58" s="134">
        <f>'2.Partial CFI'!AC27</f>
        <v>0.5</v>
      </c>
      <c r="AA58" s="134">
        <f>'2.Partial CFI'!AD27</f>
        <v>0.505</v>
      </c>
      <c r="AB58" s="134" t="str">
        <f>'2.Partial CFI'!AE27</f>
        <v>SBT+EBT</v>
      </c>
      <c r="AC58" s="134">
        <f>'2.Partial CFI'!AF27</f>
        <v>3</v>
      </c>
      <c r="AD58" s="134">
        <f>'2.Partial CFI'!AG27</f>
        <v>1</v>
      </c>
      <c r="AE58" s="134" t="str">
        <f>'2.Partial CFI'!AH27</f>
        <v>WBT</v>
      </c>
      <c r="AF58" s="134">
        <f>'2.Partial CFI'!AI27</f>
        <v>2</v>
      </c>
      <c r="AG58" s="134">
        <f>'2.Partial CFI'!AJ27</f>
        <v>1.75</v>
      </c>
      <c r="AH58" s="134">
        <f>'2.Partial CFI'!AK27</f>
        <v>4.75</v>
      </c>
      <c r="AI58" s="134">
        <f>'2.Partial CFI'!AL27</f>
        <v>45</v>
      </c>
      <c r="AJ58" s="134">
        <f>'2.Partial CFI'!AM27</f>
        <v>0.83333333333333326</v>
      </c>
      <c r="AK58" s="140">
        <f>'2.Partial CFI'!AN27</f>
        <v>1.9989583333333334</v>
      </c>
      <c r="AL58" s="634"/>
      <c r="AN58" s="627"/>
      <c r="AO58" s="627"/>
      <c r="AP58" s="124" t="s">
        <v>21</v>
      </c>
      <c r="AQ58" s="157">
        <f>'2.Partial CFI'!AR27</f>
        <v>67031250</v>
      </c>
      <c r="AR58" s="158">
        <f>'2.Partial CFI'!AS27</f>
        <v>7.0019107774903666E-2</v>
      </c>
      <c r="AS58" s="116">
        <f>'2.Partial CFI'!AT27</f>
        <v>1.9989583333333334</v>
      </c>
      <c r="AT58" s="116">
        <f>'2.Partial CFI'!AU27</f>
        <v>1</v>
      </c>
      <c r="AU58" s="6">
        <f>'2.Partial CFI'!AV27</f>
        <v>9382047.6065750681</v>
      </c>
      <c r="AV58" s="621"/>
      <c r="AW58" s="621"/>
      <c r="AX58" s="624"/>
    </row>
    <row r="59" spans="1:50" ht="18.75" x14ac:dyDescent="0.3">
      <c r="A59" s="655"/>
      <c r="B59" s="655"/>
      <c r="C59" s="202" t="s">
        <v>29</v>
      </c>
      <c r="D59" s="186" t="str">
        <f>'2.Partial CFI'!L28</f>
        <v>SBL*NBT</v>
      </c>
      <c r="E59" s="187">
        <f>'2.Partial CFI'!M28</f>
        <v>34031250</v>
      </c>
      <c r="F59" s="662"/>
      <c r="G59" s="655"/>
      <c r="I59" s="655"/>
      <c r="J59" s="655"/>
      <c r="K59" s="202" t="s">
        <v>29</v>
      </c>
      <c r="L59" s="186">
        <f>'2.Partial CFI'!Q28</f>
        <v>15</v>
      </c>
      <c r="M59" s="186">
        <f>'2.Partial CFI'!R28</f>
        <v>25</v>
      </c>
      <c r="N59" s="186">
        <f>'2.Partial CFI'!S28</f>
        <v>230</v>
      </c>
      <c r="O59" s="186">
        <f>'2.Partial CFI'!T28</f>
        <v>18.248908921254063</v>
      </c>
      <c r="P59" s="186">
        <f>'2.Partial CFI'!U28</f>
        <v>7.1146798558078322E-3</v>
      </c>
      <c r="Q59" s="186">
        <f>'2.Partial CFI'!V28</f>
        <v>1.4178741042165027E-2</v>
      </c>
      <c r="R59" s="655"/>
      <c r="T59" s="627"/>
      <c r="U59" s="627"/>
      <c r="V59" s="80" t="s">
        <v>29</v>
      </c>
      <c r="W59" s="148" t="str">
        <f>'2.Partial CFI'!Z28</f>
        <v>C</v>
      </c>
      <c r="X59" s="134" t="str">
        <f>'2.Partial CFI'!AA28</f>
        <v xml:space="preserve">Protected </v>
      </c>
      <c r="Y59" s="134">
        <f>'2.Partial CFI'!AB28</f>
        <v>0.01</v>
      </c>
      <c r="Z59" s="134">
        <f>'2.Partial CFI'!AC28</f>
        <v>0.5</v>
      </c>
      <c r="AA59" s="134">
        <f>'2.Partial CFI'!AD28</f>
        <v>0.505</v>
      </c>
      <c r="AB59" s="134" t="str">
        <f>'2.Partial CFI'!AE28</f>
        <v>NBT+WBT</v>
      </c>
      <c r="AC59" s="134">
        <f>'2.Partial CFI'!AF28</f>
        <v>3</v>
      </c>
      <c r="AD59" s="134">
        <f>'2.Partial CFI'!AG28</f>
        <v>1</v>
      </c>
      <c r="AE59" s="134" t="str">
        <f>'2.Partial CFI'!AH28</f>
        <v>EBT</v>
      </c>
      <c r="AF59" s="134">
        <f>'2.Partial CFI'!AI28</f>
        <v>2</v>
      </c>
      <c r="AG59" s="134">
        <f>'2.Partial CFI'!AJ28</f>
        <v>1.75</v>
      </c>
      <c r="AH59" s="134">
        <f>'2.Partial CFI'!AK28</f>
        <v>4.75</v>
      </c>
      <c r="AI59" s="134">
        <f>'2.Partial CFI'!AL28</f>
        <v>45</v>
      </c>
      <c r="AJ59" s="134">
        <f>'2.Partial CFI'!AM28</f>
        <v>0.83333333333333326</v>
      </c>
      <c r="AK59" s="140">
        <f>'2.Partial CFI'!AN28</f>
        <v>1.9989583333333334</v>
      </c>
      <c r="AL59" s="634"/>
      <c r="AN59" s="627"/>
      <c r="AO59" s="627"/>
      <c r="AP59" s="124" t="s">
        <v>29</v>
      </c>
      <c r="AQ59" s="157">
        <f>'2.Partial CFI'!AR28</f>
        <v>34031250</v>
      </c>
      <c r="AR59" s="158">
        <f>'2.Partial CFI'!AS28</f>
        <v>1.4178741042165027E-2</v>
      </c>
      <c r="AS59" s="116">
        <f>'2.Partial CFI'!AT28</f>
        <v>1.9989583333333334</v>
      </c>
      <c r="AT59" s="116">
        <f>'2.Partial CFI'!AU28</f>
        <v>1</v>
      </c>
      <c r="AU59" s="6">
        <f>'2.Partial CFI'!AV28</f>
        <v>964537.93688955379</v>
      </c>
      <c r="AV59" s="621"/>
      <c r="AW59" s="621"/>
      <c r="AX59" s="624"/>
    </row>
    <row r="60" spans="1:50" ht="18.75" x14ac:dyDescent="0.3">
      <c r="A60" s="655"/>
      <c r="B60" s="655"/>
      <c r="C60" s="206" t="s">
        <v>30</v>
      </c>
      <c r="D60" s="186" t="str">
        <f>'2.Partial CFI'!L29</f>
        <v>SBL*WBT</v>
      </c>
      <c r="E60" s="187">
        <f>'2.Partial CFI'!M29</f>
        <v>67031250</v>
      </c>
      <c r="F60" s="662"/>
      <c r="G60" s="655"/>
      <c r="I60" s="655"/>
      <c r="J60" s="655"/>
      <c r="K60" s="206" t="s">
        <v>30</v>
      </c>
      <c r="L60" s="186">
        <f>'2.Partial CFI'!Q29</f>
        <v>45</v>
      </c>
      <c r="M60" s="186">
        <f>'2.Partial CFI'!R29</f>
        <v>15</v>
      </c>
      <c r="N60" s="186">
        <f>'2.Partial CFI'!S29</f>
        <v>230</v>
      </c>
      <c r="O60" s="186">
        <f>'2.Partial CFI'!T29</f>
        <v>27.918467333813421</v>
      </c>
      <c r="P60" s="186">
        <f>'2.Partial CFI'!U29</f>
        <v>3.5644830871376348E-2</v>
      </c>
      <c r="Q60" s="186">
        <f>'2.Partial CFI'!V29</f>
        <v>7.0019107774903666E-2</v>
      </c>
      <c r="R60" s="655"/>
      <c r="T60" s="627"/>
      <c r="U60" s="627"/>
      <c r="V60" s="83" t="s">
        <v>30</v>
      </c>
      <c r="W60" s="148" t="str">
        <f>'2.Partial CFI'!Z29</f>
        <v>C</v>
      </c>
      <c r="X60" s="134" t="str">
        <f>'2.Partial CFI'!AA29</f>
        <v xml:space="preserve">Protected </v>
      </c>
      <c r="Y60" s="134">
        <f>'2.Partial CFI'!AB29</f>
        <v>0.01</v>
      </c>
      <c r="Z60" s="134">
        <f>'2.Partial CFI'!AC29</f>
        <v>0.5</v>
      </c>
      <c r="AA60" s="134">
        <f>'2.Partial CFI'!AD29</f>
        <v>0.505</v>
      </c>
      <c r="AB60" s="134" t="str">
        <f>'2.Partial CFI'!AE29</f>
        <v>SBT+WBT</v>
      </c>
      <c r="AC60" s="134">
        <f>'2.Partial CFI'!AF29</f>
        <v>3</v>
      </c>
      <c r="AD60" s="134">
        <f>'2.Partial CFI'!AG29</f>
        <v>1</v>
      </c>
      <c r="AE60" s="134" t="str">
        <f>'2.Partial CFI'!AH29</f>
        <v>EBT</v>
      </c>
      <c r="AF60" s="134">
        <f>'2.Partial CFI'!AI29</f>
        <v>2</v>
      </c>
      <c r="AG60" s="134">
        <f>'2.Partial CFI'!AJ29</f>
        <v>1.75</v>
      </c>
      <c r="AH60" s="134">
        <f>'2.Partial CFI'!AK29</f>
        <v>4.75</v>
      </c>
      <c r="AI60" s="134">
        <f>'2.Partial CFI'!AL29</f>
        <v>45</v>
      </c>
      <c r="AJ60" s="134">
        <f>'2.Partial CFI'!AM29</f>
        <v>0.83333333333333326</v>
      </c>
      <c r="AK60" s="140">
        <f>'2.Partial CFI'!AN29</f>
        <v>1.9989583333333334</v>
      </c>
      <c r="AL60" s="634"/>
      <c r="AN60" s="627"/>
      <c r="AO60" s="627"/>
      <c r="AP60" s="127" t="s">
        <v>30</v>
      </c>
      <c r="AQ60" s="157">
        <f>'2.Partial CFI'!AR29</f>
        <v>67031250</v>
      </c>
      <c r="AR60" s="158">
        <f>'2.Partial CFI'!AS29</f>
        <v>7.0019107774903666E-2</v>
      </c>
      <c r="AS60" s="116">
        <f>'2.Partial CFI'!AT29</f>
        <v>1.9989583333333334</v>
      </c>
      <c r="AT60" s="116">
        <f>'2.Partial CFI'!AU29</f>
        <v>1</v>
      </c>
      <c r="AU60" s="6">
        <f>'2.Partial CFI'!AV29</f>
        <v>9382047.6065750681</v>
      </c>
      <c r="AV60" s="621"/>
      <c r="AW60" s="621"/>
      <c r="AX60" s="624"/>
    </row>
    <row r="61" spans="1:50" ht="18.75" x14ac:dyDescent="0.3">
      <c r="A61" s="655"/>
      <c r="B61" s="655"/>
      <c r="C61" s="202" t="s">
        <v>31</v>
      </c>
      <c r="D61" s="186" t="str">
        <f>'2.Partial CFI'!L30</f>
        <v>SBT*EBL</v>
      </c>
      <c r="E61" s="187">
        <f>'2.Partial CFI'!M30</f>
        <v>67031250</v>
      </c>
      <c r="F61" s="662"/>
      <c r="G61" s="655"/>
      <c r="I61" s="655"/>
      <c r="J61" s="655"/>
      <c r="K61" s="202" t="s">
        <v>31</v>
      </c>
      <c r="L61" s="186">
        <f>'2.Partial CFI'!Q30</f>
        <v>20</v>
      </c>
      <c r="M61" s="186">
        <f>'2.Partial CFI'!R30</f>
        <v>15</v>
      </c>
      <c r="N61" s="186">
        <f>'2.Partial CFI'!S30</f>
        <v>230</v>
      </c>
      <c r="O61" s="186">
        <f>'2.Partial CFI'!T30</f>
        <v>15.895538413434787</v>
      </c>
      <c r="P61" s="186">
        <f>'2.Partial CFI'!U30</f>
        <v>4.2160006424573982E-3</v>
      </c>
      <c r="Q61" s="186">
        <f>'2.Partial CFI'!V30</f>
        <v>8.4142266234975959E-3</v>
      </c>
      <c r="R61" s="655"/>
      <c r="T61" s="627"/>
      <c r="U61" s="627"/>
      <c r="V61" s="80" t="s">
        <v>31</v>
      </c>
      <c r="W61" s="148" t="str">
        <f>'2.Partial CFI'!Z30</f>
        <v>C</v>
      </c>
      <c r="X61" s="134" t="str">
        <f>'2.Partial CFI'!AA30</f>
        <v xml:space="preserve">Protected </v>
      </c>
      <c r="Y61" s="134">
        <f>'2.Partial CFI'!AB30</f>
        <v>0.01</v>
      </c>
      <c r="Z61" s="134">
        <f>'2.Partial CFI'!AC30</f>
        <v>0.5</v>
      </c>
      <c r="AA61" s="134">
        <f>'2.Partial CFI'!AD30</f>
        <v>0.505</v>
      </c>
      <c r="AB61" s="134" t="str">
        <f>'2.Partial CFI'!AE30</f>
        <v>WBT+EBT</v>
      </c>
      <c r="AC61" s="134">
        <f>'2.Partial CFI'!AF30</f>
        <v>4</v>
      </c>
      <c r="AD61" s="134">
        <f>'2.Partial CFI'!AG30</f>
        <v>0</v>
      </c>
      <c r="AE61" s="134" t="str">
        <f>'2.Partial CFI'!AH30</f>
        <v>SBT</v>
      </c>
      <c r="AF61" s="134">
        <f>'2.Partial CFI'!AI30</f>
        <v>1</v>
      </c>
      <c r="AG61" s="134">
        <f>'2.Partial CFI'!AJ30</f>
        <v>0</v>
      </c>
      <c r="AH61" s="134">
        <f>'2.Partial CFI'!AK30</f>
        <v>4</v>
      </c>
      <c r="AI61" s="134">
        <f>'2.Partial CFI'!AL30</f>
        <v>45</v>
      </c>
      <c r="AJ61" s="134">
        <f>'2.Partial CFI'!AM30</f>
        <v>0.83333333333333326</v>
      </c>
      <c r="AK61" s="140">
        <f>'2.Partial CFI'!AN30</f>
        <v>1.6833333333333331</v>
      </c>
      <c r="AL61" s="634"/>
      <c r="AN61" s="627"/>
      <c r="AO61" s="627"/>
      <c r="AP61" s="124" t="s">
        <v>31</v>
      </c>
      <c r="AQ61" s="157">
        <f>'2.Partial CFI'!AR30</f>
        <v>67031250</v>
      </c>
      <c r="AR61" s="158">
        <f>'2.Partial CFI'!AS30</f>
        <v>8.4142266234975959E-3</v>
      </c>
      <c r="AS61" s="116">
        <f>'2.Partial CFI'!AT30</f>
        <v>1.6833333333333331</v>
      </c>
      <c r="AT61" s="116">
        <f>'2.Partial CFI'!AU30</f>
        <v>1</v>
      </c>
      <c r="AU61" s="6">
        <f>'2.Partial CFI'!AV30</f>
        <v>949427.1493998107</v>
      </c>
      <c r="AV61" s="621"/>
      <c r="AW61" s="621"/>
      <c r="AX61" s="624"/>
    </row>
    <row r="62" spans="1:50" ht="18.75" x14ac:dyDescent="0.3">
      <c r="A62" s="655"/>
      <c r="B62" s="655"/>
      <c r="C62" s="202" t="s">
        <v>32</v>
      </c>
      <c r="D62" s="186" t="str">
        <f>'2.Partial CFI'!L31</f>
        <v>SBL*EBL</v>
      </c>
      <c r="E62" s="187">
        <f>'2.Partial CFI'!M31</f>
        <v>33515625</v>
      </c>
      <c r="F62" s="662"/>
      <c r="G62" s="655"/>
      <c r="I62" s="655"/>
      <c r="J62" s="655"/>
      <c r="K62" s="202" t="s">
        <v>32</v>
      </c>
      <c r="L62" s="186">
        <f>'2.Partial CFI'!Q31</f>
        <v>20</v>
      </c>
      <c r="M62" s="186">
        <f>'2.Partial CFI'!R31</f>
        <v>15</v>
      </c>
      <c r="N62" s="186">
        <f>'2.Partial CFI'!S31</f>
        <v>230</v>
      </c>
      <c r="O62" s="186">
        <f>'2.Partial CFI'!T31</f>
        <v>15.895538413434787</v>
      </c>
      <c r="P62" s="186">
        <f>'2.Partial CFI'!U31</f>
        <v>4.2160006424573982E-3</v>
      </c>
      <c r="Q62" s="186">
        <f>'2.Partial CFI'!V31</f>
        <v>8.4142266234975959E-3</v>
      </c>
      <c r="R62" s="655"/>
      <c r="T62" s="627"/>
      <c r="U62" s="627"/>
      <c r="V62" s="80" t="s">
        <v>32</v>
      </c>
      <c r="W62" s="148" t="str">
        <f>'2.Partial CFI'!Z31</f>
        <v>C</v>
      </c>
      <c r="X62" s="134" t="str">
        <f>'2.Partial CFI'!AA31</f>
        <v xml:space="preserve">Protected </v>
      </c>
      <c r="Y62" s="134">
        <f>'2.Partial CFI'!AB31</f>
        <v>0.01</v>
      </c>
      <c r="Z62" s="134">
        <f>'2.Partial CFI'!AC31</f>
        <v>0.5</v>
      </c>
      <c r="AA62" s="134">
        <f>'2.Partial CFI'!AD31</f>
        <v>0.505</v>
      </c>
      <c r="AB62" s="134" t="str">
        <f>'2.Partial CFI'!AE31</f>
        <v>NBT+WBT</v>
      </c>
      <c r="AC62" s="134">
        <f>'2.Partial CFI'!AF31</f>
        <v>3</v>
      </c>
      <c r="AD62" s="134">
        <f>'2.Partial CFI'!AG31</f>
        <v>0</v>
      </c>
      <c r="AE62" s="134" t="str">
        <f>'2.Partial CFI'!AH31</f>
        <v>EBT</v>
      </c>
      <c r="AF62" s="134">
        <f>'2.Partial CFI'!AI31</f>
        <v>2</v>
      </c>
      <c r="AG62" s="134">
        <f>'2.Partial CFI'!AJ31</f>
        <v>0</v>
      </c>
      <c r="AH62" s="134">
        <f>'2.Partial CFI'!AK31</f>
        <v>3</v>
      </c>
      <c r="AI62" s="134">
        <f>'2.Partial CFI'!AL31</f>
        <v>45</v>
      </c>
      <c r="AJ62" s="134">
        <f>'2.Partial CFI'!AM31</f>
        <v>0.83333333333333326</v>
      </c>
      <c r="AK62" s="140">
        <f>'2.Partial CFI'!AN31</f>
        <v>1.2625</v>
      </c>
      <c r="AL62" s="634"/>
      <c r="AN62" s="627"/>
      <c r="AO62" s="627"/>
      <c r="AP62" s="124" t="s">
        <v>32</v>
      </c>
      <c r="AQ62" s="157">
        <f>'2.Partial CFI'!AR31</f>
        <v>33515625</v>
      </c>
      <c r="AR62" s="158">
        <f>'2.Partial CFI'!AS31</f>
        <v>8.4142266234975959E-3</v>
      </c>
      <c r="AS62" s="116">
        <f>'2.Partial CFI'!AT31</f>
        <v>1.2625</v>
      </c>
      <c r="AT62" s="116">
        <f>'2.Partial CFI'!AU31</f>
        <v>1</v>
      </c>
      <c r="AU62" s="6">
        <f>'2.Partial CFI'!AV31</f>
        <v>356035.18102492904</v>
      </c>
      <c r="AV62" s="621"/>
      <c r="AW62" s="621"/>
      <c r="AX62" s="624"/>
    </row>
    <row r="63" spans="1:50" ht="18.75" x14ac:dyDescent="0.3">
      <c r="A63" s="655"/>
      <c r="B63" s="655"/>
      <c r="C63" s="202" t="s">
        <v>33</v>
      </c>
      <c r="D63" s="186" t="str">
        <f>'2.Partial CFI'!L32</f>
        <v>NBT*WBL</v>
      </c>
      <c r="E63" s="187">
        <f>'2.Partial CFI'!M32</f>
        <v>67031250</v>
      </c>
      <c r="F63" s="662"/>
      <c r="G63" s="655"/>
      <c r="I63" s="655"/>
      <c r="J63" s="655"/>
      <c r="K63" s="202" t="s">
        <v>33</v>
      </c>
      <c r="L63" s="186">
        <f>'2.Partial CFI'!Q32</f>
        <v>20</v>
      </c>
      <c r="M63" s="186">
        <f>'2.Partial CFI'!R32</f>
        <v>15</v>
      </c>
      <c r="N63" s="186">
        <f>'2.Partial CFI'!S32</f>
        <v>230</v>
      </c>
      <c r="O63" s="186">
        <f>'2.Partial CFI'!T32</f>
        <v>15.895538413434787</v>
      </c>
      <c r="P63" s="186">
        <f>'2.Partial CFI'!U32</f>
        <v>4.2160006424573982E-3</v>
      </c>
      <c r="Q63" s="186">
        <f>'2.Partial CFI'!V32</f>
        <v>8.4142266234975959E-3</v>
      </c>
      <c r="R63" s="655"/>
      <c r="T63" s="627"/>
      <c r="U63" s="627"/>
      <c r="V63" s="80" t="s">
        <v>33</v>
      </c>
      <c r="W63" s="148" t="str">
        <f>'2.Partial CFI'!Z32</f>
        <v>C</v>
      </c>
      <c r="X63" s="134" t="str">
        <f>'2.Partial CFI'!AA32</f>
        <v xml:space="preserve">Protected </v>
      </c>
      <c r="Y63" s="134">
        <f>'2.Partial CFI'!AB32</f>
        <v>0.01</v>
      </c>
      <c r="Z63" s="134">
        <f>'2.Partial CFI'!AC32</f>
        <v>0.5</v>
      </c>
      <c r="AA63" s="134">
        <f>'2.Partial CFI'!AD32</f>
        <v>0.505</v>
      </c>
      <c r="AB63" s="134" t="str">
        <f>'2.Partial CFI'!AE32</f>
        <v>EBT+WBT</v>
      </c>
      <c r="AC63" s="134">
        <f>'2.Partial CFI'!AF32</f>
        <v>4</v>
      </c>
      <c r="AD63" s="134">
        <f>'2.Partial CFI'!AG32</f>
        <v>0</v>
      </c>
      <c r="AE63" s="134" t="str">
        <f>'2.Partial CFI'!AH32</f>
        <v>NBT</v>
      </c>
      <c r="AF63" s="134">
        <f>'2.Partial CFI'!AI32</f>
        <v>1</v>
      </c>
      <c r="AG63" s="134">
        <f>'2.Partial CFI'!AJ32</f>
        <v>0</v>
      </c>
      <c r="AH63" s="134">
        <f>'2.Partial CFI'!AK32</f>
        <v>4</v>
      </c>
      <c r="AI63" s="134">
        <f>'2.Partial CFI'!AL32</f>
        <v>45</v>
      </c>
      <c r="AJ63" s="134">
        <f>'2.Partial CFI'!AM32</f>
        <v>0.83333333333333326</v>
      </c>
      <c r="AK63" s="140">
        <f>'2.Partial CFI'!AN32</f>
        <v>1.6833333333333331</v>
      </c>
      <c r="AL63" s="634"/>
      <c r="AN63" s="627"/>
      <c r="AO63" s="627"/>
      <c r="AP63" s="124" t="s">
        <v>33</v>
      </c>
      <c r="AQ63" s="157">
        <f>'2.Partial CFI'!AR32</f>
        <v>67031250</v>
      </c>
      <c r="AR63" s="158">
        <f>'2.Partial CFI'!AS32</f>
        <v>8.4142266234975959E-3</v>
      </c>
      <c r="AS63" s="116">
        <f>'2.Partial CFI'!AT32</f>
        <v>1.6833333333333331</v>
      </c>
      <c r="AT63" s="116">
        <f>'2.Partial CFI'!AU32</f>
        <v>1</v>
      </c>
      <c r="AU63" s="6">
        <f>'2.Partial CFI'!AV32</f>
        <v>949427.1493998107</v>
      </c>
      <c r="AV63" s="621"/>
      <c r="AW63" s="621"/>
      <c r="AX63" s="624"/>
    </row>
    <row r="64" spans="1:50" ht="18.75" x14ac:dyDescent="0.3">
      <c r="A64" s="655"/>
      <c r="B64" s="655"/>
      <c r="C64" s="202" t="s">
        <v>34</v>
      </c>
      <c r="D64" s="186" t="str">
        <f>'2.Partial CFI'!L33</f>
        <v>NBL*WBL</v>
      </c>
      <c r="E64" s="187">
        <f>'2.Partial CFI'!M33</f>
        <v>33515625</v>
      </c>
      <c r="F64" s="662"/>
      <c r="G64" s="655"/>
      <c r="I64" s="655"/>
      <c r="J64" s="655"/>
      <c r="K64" s="202" t="s">
        <v>34</v>
      </c>
      <c r="L64" s="186">
        <f>'2.Partial CFI'!Q33</f>
        <v>20</v>
      </c>
      <c r="M64" s="186">
        <f>'2.Partial CFI'!R33</f>
        <v>15</v>
      </c>
      <c r="N64" s="186">
        <f>'2.Partial CFI'!S33</f>
        <v>230</v>
      </c>
      <c r="O64" s="186">
        <f>'2.Partial CFI'!T33</f>
        <v>15.895538413434787</v>
      </c>
      <c r="P64" s="186">
        <f>'2.Partial CFI'!U33</f>
        <v>4.2160006424573982E-3</v>
      </c>
      <c r="Q64" s="186">
        <f>'2.Partial CFI'!V33</f>
        <v>8.4142266234975959E-3</v>
      </c>
      <c r="R64" s="655"/>
      <c r="T64" s="627"/>
      <c r="U64" s="627"/>
      <c r="V64" s="80" t="s">
        <v>34</v>
      </c>
      <c r="W64" s="148" t="str">
        <f>'2.Partial CFI'!Z33</f>
        <v>C</v>
      </c>
      <c r="X64" s="134" t="str">
        <f>'2.Partial CFI'!AA33</f>
        <v xml:space="preserve">Protected </v>
      </c>
      <c r="Y64" s="134">
        <f>'2.Partial CFI'!AB33</f>
        <v>0.01</v>
      </c>
      <c r="Z64" s="134">
        <f>'2.Partial CFI'!AC33</f>
        <v>0.5</v>
      </c>
      <c r="AA64" s="134">
        <f>'2.Partial CFI'!AD33</f>
        <v>0.505</v>
      </c>
      <c r="AB64" s="134" t="str">
        <f>'2.Partial CFI'!AE33</f>
        <v>SBT+EBT</v>
      </c>
      <c r="AC64" s="134">
        <f>'2.Partial CFI'!AF33</f>
        <v>3</v>
      </c>
      <c r="AD64" s="134">
        <f>'2.Partial CFI'!AG33</f>
        <v>0</v>
      </c>
      <c r="AE64" s="134" t="str">
        <f>'2.Partial CFI'!AH33</f>
        <v>WBT</v>
      </c>
      <c r="AF64" s="134">
        <f>'2.Partial CFI'!AI33</f>
        <v>2</v>
      </c>
      <c r="AG64" s="134">
        <f>'2.Partial CFI'!AJ33</f>
        <v>0</v>
      </c>
      <c r="AH64" s="134">
        <f>'2.Partial CFI'!AK33</f>
        <v>3</v>
      </c>
      <c r="AI64" s="134">
        <f>'2.Partial CFI'!AL33</f>
        <v>45</v>
      </c>
      <c r="AJ64" s="134">
        <f>'2.Partial CFI'!AM33</f>
        <v>0.83333333333333326</v>
      </c>
      <c r="AK64" s="140">
        <f>'2.Partial CFI'!AN33</f>
        <v>1.2625</v>
      </c>
      <c r="AL64" s="634"/>
      <c r="AN64" s="627"/>
      <c r="AO64" s="627"/>
      <c r="AP64" s="124" t="s">
        <v>34</v>
      </c>
      <c r="AQ64" s="157">
        <f>'2.Partial CFI'!AR33</f>
        <v>33515625</v>
      </c>
      <c r="AR64" s="158">
        <f>'2.Partial CFI'!AS33</f>
        <v>8.4142266234975959E-3</v>
      </c>
      <c r="AS64" s="116">
        <f>'2.Partial CFI'!AT33</f>
        <v>1.2625</v>
      </c>
      <c r="AT64" s="116">
        <f>'2.Partial CFI'!AU33</f>
        <v>1</v>
      </c>
      <c r="AU64" s="6">
        <f>'2.Partial CFI'!AV33</f>
        <v>356035.18102492904</v>
      </c>
      <c r="AV64" s="621"/>
      <c r="AW64" s="621"/>
      <c r="AX64" s="624"/>
    </row>
    <row r="65" spans="1:50" ht="18.75" x14ac:dyDescent="0.3">
      <c r="A65" s="655"/>
      <c r="B65" s="655"/>
      <c r="C65" s="202" t="s">
        <v>35</v>
      </c>
      <c r="D65" s="186" t="str">
        <f>'2.Partial CFI'!L34</f>
        <v>EBL*(WBT+NBL)</v>
      </c>
      <c r="E65" s="187">
        <f>'2.Partial CFI'!M34</f>
        <v>165546875</v>
      </c>
      <c r="F65" s="662"/>
      <c r="G65" s="655"/>
      <c r="I65" s="655"/>
      <c r="J65" s="655"/>
      <c r="K65" s="202" t="s">
        <v>35</v>
      </c>
      <c r="L65" s="186">
        <f>'2.Partial CFI'!Q34</f>
        <v>45</v>
      </c>
      <c r="M65" s="186">
        <f>'2.Partial CFI'!R34</f>
        <v>20</v>
      </c>
      <c r="N65" s="186">
        <f>'2.Partial CFI'!S34</f>
        <v>230</v>
      </c>
      <c r="O65" s="186">
        <f>'2.Partial CFI'!T34</f>
        <v>29.924979939156898</v>
      </c>
      <c r="P65" s="186">
        <f>'2.Partial CFI'!U34</f>
        <v>4.6369867746318419E-2</v>
      </c>
      <c r="Q65" s="186">
        <f>'2.Partial CFI'!V34</f>
        <v>9.0589570857825777E-2</v>
      </c>
      <c r="R65" s="655"/>
      <c r="T65" s="627"/>
      <c r="U65" s="627"/>
      <c r="V65" s="80" t="s">
        <v>35</v>
      </c>
      <c r="W65" s="148" t="str">
        <f>'2.Partial CFI'!Z34</f>
        <v>C</v>
      </c>
      <c r="X65" s="134" t="str">
        <f>'2.Partial CFI'!AA34</f>
        <v xml:space="preserve">Protected </v>
      </c>
      <c r="Y65" s="134">
        <f>'2.Partial CFI'!AB34</f>
        <v>0.01</v>
      </c>
      <c r="Z65" s="134">
        <f>'2.Partial CFI'!AC34</f>
        <v>0.5</v>
      </c>
      <c r="AA65" s="134">
        <f>'2.Partial CFI'!AD34</f>
        <v>0.505</v>
      </c>
      <c r="AB65" s="134" t="str">
        <f>'2.Partial CFI'!AE34</f>
        <v>WBT+SBT</v>
      </c>
      <c r="AC65" s="134">
        <f>'2.Partial CFI'!AF34</f>
        <v>3</v>
      </c>
      <c r="AD65" s="134">
        <f>'2.Partial CFI'!AG34</f>
        <v>1</v>
      </c>
      <c r="AE65" s="134" t="str">
        <f>'2.Partial CFI'!AH34</f>
        <v>NBT</v>
      </c>
      <c r="AF65" s="134">
        <f>'2.Partial CFI'!AI34</f>
        <v>1</v>
      </c>
      <c r="AG65" s="134">
        <f>'2.Partial CFI'!AJ34</f>
        <v>1</v>
      </c>
      <c r="AH65" s="134">
        <f>'2.Partial CFI'!AK34</f>
        <v>4</v>
      </c>
      <c r="AI65" s="134">
        <f>'2.Partial CFI'!AL34</f>
        <v>45</v>
      </c>
      <c r="AJ65" s="134">
        <f>'2.Partial CFI'!AM34</f>
        <v>0.83333333333333326</v>
      </c>
      <c r="AK65" s="140">
        <f>'2.Partial CFI'!AN34</f>
        <v>1.6833333333333331</v>
      </c>
      <c r="AL65" s="634"/>
      <c r="AN65" s="627"/>
      <c r="AO65" s="627"/>
      <c r="AP65" s="124" t="s">
        <v>35</v>
      </c>
      <c r="AQ65" s="157">
        <f>'2.Partial CFI'!AR34</f>
        <v>165546875</v>
      </c>
      <c r="AR65" s="158">
        <f>'2.Partial CFI'!AS34</f>
        <v>9.0589570857825777E-2</v>
      </c>
      <c r="AS65" s="116">
        <f>'2.Partial CFI'!AT34</f>
        <v>1.6833333333333331</v>
      </c>
      <c r="AT65" s="116">
        <f>'2.Partial CFI'!AU34</f>
        <v>1</v>
      </c>
      <c r="AU65" s="6">
        <f>'2.Partial CFI'!AV34</f>
        <v>25244647.611225277</v>
      </c>
      <c r="AV65" s="621"/>
      <c r="AW65" s="621"/>
      <c r="AX65" s="624"/>
    </row>
    <row r="66" spans="1:50" ht="19.5" thickBot="1" x14ac:dyDescent="0.35">
      <c r="A66" s="656"/>
      <c r="B66" s="656"/>
      <c r="C66" s="204" t="s">
        <v>36</v>
      </c>
      <c r="D66" s="192" t="str">
        <f>'2.Partial CFI'!L35</f>
        <v>WBL*(EBT+SBL)</v>
      </c>
      <c r="E66" s="193">
        <f>'2.Partial CFI'!M35</f>
        <v>165546875</v>
      </c>
      <c r="F66" s="663"/>
      <c r="G66" s="656"/>
      <c r="I66" s="656"/>
      <c r="J66" s="656"/>
      <c r="K66" s="204" t="s">
        <v>36</v>
      </c>
      <c r="L66" s="192">
        <f>'2.Partial CFI'!Q35</f>
        <v>45</v>
      </c>
      <c r="M66" s="192">
        <f>'2.Partial CFI'!R35</f>
        <v>20</v>
      </c>
      <c r="N66" s="192">
        <f>'2.Partial CFI'!S35</f>
        <v>230</v>
      </c>
      <c r="O66" s="192">
        <f>'2.Partial CFI'!T35</f>
        <v>29.924979939156898</v>
      </c>
      <c r="P66" s="192">
        <f>'2.Partial CFI'!U35</f>
        <v>4.6369867746318419E-2</v>
      </c>
      <c r="Q66" s="192">
        <f>'2.Partial CFI'!V35</f>
        <v>9.0589570857825777E-2</v>
      </c>
      <c r="R66" s="656"/>
      <c r="T66" s="628"/>
      <c r="U66" s="628"/>
      <c r="V66" s="81" t="s">
        <v>36</v>
      </c>
      <c r="W66" s="148" t="str">
        <f>'2.Partial CFI'!Z35</f>
        <v>C</v>
      </c>
      <c r="X66" s="142" t="str">
        <f>'2.Partial CFI'!AA35</f>
        <v xml:space="preserve">Protected </v>
      </c>
      <c r="Y66" s="142">
        <f>'2.Partial CFI'!AB35</f>
        <v>0.01</v>
      </c>
      <c r="Z66" s="142">
        <f>'2.Partial CFI'!AC35</f>
        <v>0.5</v>
      </c>
      <c r="AA66" s="142">
        <f>'2.Partial CFI'!AD35</f>
        <v>0.505</v>
      </c>
      <c r="AB66" s="142" t="str">
        <f>'2.Partial CFI'!AE35</f>
        <v>EBT+NBT</v>
      </c>
      <c r="AC66" s="142">
        <f>'2.Partial CFI'!AF35</f>
        <v>3</v>
      </c>
      <c r="AD66" s="142">
        <f>'2.Partial CFI'!AG35</f>
        <v>1</v>
      </c>
      <c r="AE66" s="142" t="str">
        <f>'2.Partial CFI'!AH35</f>
        <v>SBT</v>
      </c>
      <c r="AF66" s="142">
        <f>'2.Partial CFI'!AI35</f>
        <v>1</v>
      </c>
      <c r="AG66" s="142">
        <f>'2.Partial CFI'!AJ35</f>
        <v>1</v>
      </c>
      <c r="AH66" s="142">
        <f>'2.Partial CFI'!AK35</f>
        <v>4</v>
      </c>
      <c r="AI66" s="142">
        <f>'2.Partial CFI'!AL35</f>
        <v>45</v>
      </c>
      <c r="AJ66" s="142">
        <f>'2.Partial CFI'!AM35</f>
        <v>0.83333333333333326</v>
      </c>
      <c r="AK66" s="143">
        <f>'2.Partial CFI'!AN35</f>
        <v>1.6833333333333331</v>
      </c>
      <c r="AL66" s="635"/>
      <c r="AN66" s="628"/>
      <c r="AO66" s="628"/>
      <c r="AP66" s="125" t="s">
        <v>36</v>
      </c>
      <c r="AQ66" s="159">
        <f>'2.Partial CFI'!AR35</f>
        <v>165546875</v>
      </c>
      <c r="AR66" s="160">
        <f>'2.Partial CFI'!AS35</f>
        <v>9.0589570857825777E-2</v>
      </c>
      <c r="AS66" s="119">
        <f>'2.Partial CFI'!AT35</f>
        <v>1.6833333333333331</v>
      </c>
      <c r="AT66" s="119">
        <f>'2.Partial CFI'!AU35</f>
        <v>1</v>
      </c>
      <c r="AU66" s="7">
        <f>'2.Partial CFI'!AV35</f>
        <v>25244647.611225277</v>
      </c>
      <c r="AV66" s="622"/>
      <c r="AW66" s="622"/>
      <c r="AX66" s="625"/>
    </row>
    <row r="67" spans="1:50" ht="20.25" thickTop="1" thickBot="1" x14ac:dyDescent="0.35">
      <c r="A67" s="660">
        <v>3</v>
      </c>
      <c r="B67" s="660" t="s">
        <v>47</v>
      </c>
      <c r="C67" s="185" t="s">
        <v>26</v>
      </c>
      <c r="D67" s="182" t="str">
        <f>'3.RCI'!L6</f>
        <v>(NBT+NBL)*(EBT+SBL+NBR)</v>
      </c>
      <c r="E67" s="195">
        <f>'3.RCI'!M6</f>
        <v>303187500</v>
      </c>
      <c r="F67" s="661">
        <f>SUM(E67:E72)</f>
        <v>1870843750</v>
      </c>
      <c r="G67" s="654">
        <f>F67/F5</f>
        <v>2.2531802785095971</v>
      </c>
      <c r="I67" s="651">
        <v>3</v>
      </c>
      <c r="J67" s="651" t="s">
        <v>47</v>
      </c>
      <c r="K67" s="185" t="s">
        <v>26</v>
      </c>
      <c r="L67" s="182">
        <f>'3.RCI'!Q6</f>
        <v>45</v>
      </c>
      <c r="M67" s="182">
        <f>'3.RCI'!R6</f>
        <v>20</v>
      </c>
      <c r="N67" s="182">
        <f>'3.RCI'!S6</f>
        <v>10</v>
      </c>
      <c r="O67" s="182">
        <f>'3.RCI'!T6</f>
        <v>12.77053292327718</v>
      </c>
      <c r="P67" s="182">
        <f>'3.RCI'!U6</f>
        <v>1.8390760451277139E-3</v>
      </c>
      <c r="Q67" s="182">
        <f>'3.RCI'!V6</f>
        <v>3.6747698895556653E-3</v>
      </c>
      <c r="R67" s="654">
        <f>'3.RCI'!W6</f>
        <v>4.8002292025053081E-3</v>
      </c>
      <c r="T67" s="617">
        <v>3</v>
      </c>
      <c r="U67" s="617" t="s">
        <v>47</v>
      </c>
      <c r="V67" s="73" t="s">
        <v>26</v>
      </c>
      <c r="W67" s="149" t="str">
        <f>'3.RCI'!Z6</f>
        <v>D</v>
      </c>
      <c r="X67" s="151" t="str">
        <f>'3.RCI'!AA6</f>
        <v>Permitted or yield control</v>
      </c>
      <c r="Y67" s="151">
        <f>'3.RCI'!AB6</f>
        <v>1</v>
      </c>
      <c r="Z67" s="151">
        <f>'3.RCI'!AC6</f>
        <v>0.5</v>
      </c>
      <c r="AA67" s="151">
        <f>'3.RCI'!AD6</f>
        <v>1</v>
      </c>
      <c r="AB67" s="151" t="str">
        <f>'3.RCI'!AE6</f>
        <v>NA</v>
      </c>
      <c r="AC67" s="151">
        <f>'3.RCI'!AF6</f>
        <v>0</v>
      </c>
      <c r="AD67" s="151">
        <f>'3.RCI'!AG6</f>
        <v>0</v>
      </c>
      <c r="AE67" s="151" t="str">
        <f>'3.RCI'!AH6</f>
        <v>NA</v>
      </c>
      <c r="AF67" s="151">
        <f>'3.RCI'!AI6</f>
        <v>0</v>
      </c>
      <c r="AG67" s="151">
        <f>'3.RCI'!AJ6</f>
        <v>0</v>
      </c>
      <c r="AH67" s="151">
        <f>'3.RCI'!AK6</f>
        <v>1</v>
      </c>
      <c r="AI67" s="151" t="str">
        <f>'3.RCI'!AL6</f>
        <v>NA</v>
      </c>
      <c r="AJ67" s="151">
        <f>'3.RCI'!AM6</f>
        <v>1</v>
      </c>
      <c r="AK67" s="152">
        <f>'3.RCI'!AN6</f>
        <v>1</v>
      </c>
      <c r="AL67" s="633">
        <f>'3.RCI'!AO6</f>
        <v>1</v>
      </c>
      <c r="AN67" s="617">
        <v>3</v>
      </c>
      <c r="AO67" s="617" t="s">
        <v>47</v>
      </c>
      <c r="AP67" s="115" t="s">
        <v>26</v>
      </c>
      <c r="AQ67" s="156">
        <f>'3.RCI'!AR6</f>
        <v>303187500</v>
      </c>
      <c r="AR67" s="133">
        <f>'3.RCI'!AS6</f>
        <v>3.6747698895556653E-3</v>
      </c>
      <c r="AS67" s="114">
        <f>'3.RCI'!AT6</f>
        <v>1</v>
      </c>
      <c r="AT67" s="114">
        <f>'3.RCI'!AU6</f>
        <v>1</v>
      </c>
      <c r="AU67" s="5">
        <f>'3.RCI'!AV6</f>
        <v>1114144.2958896582</v>
      </c>
      <c r="AV67" s="620">
        <f>'3.RCI'!AW6</f>
        <v>9127913.9720709436</v>
      </c>
      <c r="AW67" s="620">
        <f>'3.RCI'!AX6</f>
        <v>51.362025357564164</v>
      </c>
      <c r="AX67" s="623">
        <f>'3.RCI'!AY6</f>
        <v>22.279743800983624</v>
      </c>
    </row>
    <row r="68" spans="1:50" ht="20.25" thickTop="1" thickBot="1" x14ac:dyDescent="0.35">
      <c r="A68" s="660"/>
      <c r="B68" s="660"/>
      <c r="C68" s="190" t="s">
        <v>27</v>
      </c>
      <c r="D68" s="186" t="str">
        <f>'3.RCI'!L7</f>
        <v>(NBT+NBL+WBR+WBT)*WBL</v>
      </c>
      <c r="E68" s="187">
        <f>'3.RCI'!M7</f>
        <v>298593750</v>
      </c>
      <c r="F68" s="662"/>
      <c r="G68" s="655"/>
      <c r="I68" s="652"/>
      <c r="J68" s="652"/>
      <c r="K68" s="190" t="s">
        <v>27</v>
      </c>
      <c r="L68" s="186">
        <f>'3.RCI'!Q7</f>
        <v>45</v>
      </c>
      <c r="M68" s="186">
        <f>'3.RCI'!R7</f>
        <v>20</v>
      </c>
      <c r="N68" s="186">
        <f>'3.RCI'!S7</f>
        <v>10</v>
      </c>
      <c r="O68" s="186">
        <f>'3.RCI'!T7</f>
        <v>12.77053292327718</v>
      </c>
      <c r="P68" s="186">
        <f>'3.RCI'!U7</f>
        <v>1.8390760451277139E-3</v>
      </c>
      <c r="Q68" s="186">
        <f>'3.RCI'!V7</f>
        <v>3.6747698895556653E-3</v>
      </c>
      <c r="R68" s="655"/>
      <c r="T68" s="618"/>
      <c r="U68" s="618"/>
      <c r="V68" s="74" t="s">
        <v>27</v>
      </c>
      <c r="W68" s="150" t="str">
        <f>'3.RCI'!Z7</f>
        <v>D</v>
      </c>
      <c r="X68" s="134" t="str">
        <f>'3.RCI'!AA7</f>
        <v>Permitted or yield control</v>
      </c>
      <c r="Y68" s="134">
        <f>'3.RCI'!AB7</f>
        <v>1</v>
      </c>
      <c r="Z68" s="134">
        <f>'3.RCI'!AC7</f>
        <v>0.5</v>
      </c>
      <c r="AA68" s="134">
        <f>'3.RCI'!AD7</f>
        <v>1</v>
      </c>
      <c r="AB68" s="134" t="str">
        <f>'3.RCI'!AE7</f>
        <v>NA</v>
      </c>
      <c r="AC68" s="134">
        <f>'3.RCI'!AF7</f>
        <v>0</v>
      </c>
      <c r="AD68" s="134">
        <f>'3.RCI'!AG7</f>
        <v>0</v>
      </c>
      <c r="AE68" s="134" t="str">
        <f>'3.RCI'!AH7</f>
        <v>NA</v>
      </c>
      <c r="AF68" s="134">
        <f>'3.RCI'!AI7</f>
        <v>0</v>
      </c>
      <c r="AG68" s="134">
        <f>'3.RCI'!AJ7</f>
        <v>0</v>
      </c>
      <c r="AH68" s="134">
        <f>'3.RCI'!AK7</f>
        <v>1</v>
      </c>
      <c r="AI68" s="134" t="str">
        <f>'3.RCI'!AL7</f>
        <v>NA</v>
      </c>
      <c r="AJ68" s="134">
        <f>'3.RCI'!AM7</f>
        <v>1</v>
      </c>
      <c r="AK68" s="140">
        <f>'3.RCI'!AN7</f>
        <v>1</v>
      </c>
      <c r="AL68" s="634"/>
      <c r="AN68" s="618"/>
      <c r="AO68" s="618"/>
      <c r="AP68" s="117" t="s">
        <v>27</v>
      </c>
      <c r="AQ68" s="157">
        <f>'3.RCI'!AR7</f>
        <v>298593750</v>
      </c>
      <c r="AR68" s="158">
        <f>'3.RCI'!AS7</f>
        <v>3.6747698895556653E-3</v>
      </c>
      <c r="AS68" s="116">
        <f>'3.RCI'!AT7</f>
        <v>1</v>
      </c>
      <c r="AT68" s="116">
        <f>'3.RCI'!AU7</f>
        <v>1</v>
      </c>
      <c r="AU68" s="6">
        <f>'3.RCI'!AV7</f>
        <v>1097263.321709512</v>
      </c>
      <c r="AV68" s="621"/>
      <c r="AW68" s="621"/>
      <c r="AX68" s="624"/>
    </row>
    <row r="69" spans="1:50" ht="20.25" thickTop="1" thickBot="1" x14ac:dyDescent="0.35">
      <c r="A69" s="660"/>
      <c r="B69" s="660"/>
      <c r="C69" s="190" t="s">
        <v>22</v>
      </c>
      <c r="D69" s="186" t="str">
        <f>'3.RCI'!L8</f>
        <v>(NBL+WBT)*(NBT+WBR)</v>
      </c>
      <c r="E69" s="187">
        <f>'3.RCI'!M8</f>
        <v>333640625</v>
      </c>
      <c r="F69" s="662"/>
      <c r="G69" s="655"/>
      <c r="I69" s="652"/>
      <c r="J69" s="652"/>
      <c r="K69" s="190" t="s">
        <v>22</v>
      </c>
      <c r="L69" s="186">
        <f>'3.RCI'!Q8</f>
        <v>45</v>
      </c>
      <c r="M69" s="186">
        <f>'3.RCI'!R8</f>
        <v>15</v>
      </c>
      <c r="N69" s="186">
        <f>'3.RCI'!S8</f>
        <v>10</v>
      </c>
      <c r="O69" s="186">
        <f>'3.RCI'!T8</f>
        <v>15.169950011729762</v>
      </c>
      <c r="P69" s="186">
        <f>'3.RCI'!U8</f>
        <v>3.5318107578168117E-3</v>
      </c>
      <c r="Q69" s="186">
        <f>'3.RCI'!V8</f>
        <v>7.051147828404593E-3</v>
      </c>
      <c r="R69" s="655"/>
      <c r="T69" s="618"/>
      <c r="U69" s="618"/>
      <c r="V69" s="74" t="s">
        <v>22</v>
      </c>
      <c r="W69" s="150" t="str">
        <f>'3.RCI'!Z8</f>
        <v>D</v>
      </c>
      <c r="X69" s="134" t="str">
        <f>'3.RCI'!AA8</f>
        <v>Permitted or yield control</v>
      </c>
      <c r="Y69" s="134">
        <f>'3.RCI'!AB8</f>
        <v>1</v>
      </c>
      <c r="Z69" s="134">
        <f>'3.RCI'!AC8</f>
        <v>0.5</v>
      </c>
      <c r="AA69" s="134">
        <f>'3.RCI'!AD8</f>
        <v>1</v>
      </c>
      <c r="AB69" s="134" t="str">
        <f>'3.RCI'!AE8</f>
        <v>NA</v>
      </c>
      <c r="AC69" s="134">
        <f>'3.RCI'!AF8</f>
        <v>0</v>
      </c>
      <c r="AD69" s="134">
        <f>'3.RCI'!AG8</f>
        <v>0</v>
      </c>
      <c r="AE69" s="134" t="str">
        <f>'3.RCI'!AH8</f>
        <v>NA</v>
      </c>
      <c r="AF69" s="134">
        <f>'3.RCI'!AI8</f>
        <v>0</v>
      </c>
      <c r="AG69" s="134">
        <f>'3.RCI'!AJ8</f>
        <v>0</v>
      </c>
      <c r="AH69" s="134">
        <f>'3.RCI'!AK8</f>
        <v>1</v>
      </c>
      <c r="AI69" s="134" t="str">
        <f>'3.RCI'!AL8</f>
        <v>NA</v>
      </c>
      <c r="AJ69" s="134">
        <f>'3.RCI'!AM8</f>
        <v>1</v>
      </c>
      <c r="AK69" s="140">
        <f>'3.RCI'!AN8</f>
        <v>1</v>
      </c>
      <c r="AL69" s="634"/>
      <c r="AN69" s="618"/>
      <c r="AO69" s="618"/>
      <c r="AP69" s="117" t="s">
        <v>22</v>
      </c>
      <c r="AQ69" s="157">
        <f>'3.RCI'!AR8</f>
        <v>333640625</v>
      </c>
      <c r="AR69" s="158">
        <f>'3.RCI'!AS8</f>
        <v>7.051147828404593E-3</v>
      </c>
      <c r="AS69" s="116">
        <f>'3.RCI'!AT8</f>
        <v>1</v>
      </c>
      <c r="AT69" s="116">
        <f>'3.RCI'!AU8</f>
        <v>1</v>
      </c>
      <c r="AU69" s="6">
        <f>'3.RCI'!AV8</f>
        <v>2352549.3684363011</v>
      </c>
      <c r="AV69" s="621"/>
      <c r="AW69" s="621"/>
      <c r="AX69" s="624"/>
    </row>
    <row r="70" spans="1:50" ht="20.25" thickTop="1" thickBot="1" x14ac:dyDescent="0.35">
      <c r="A70" s="660"/>
      <c r="B70" s="660"/>
      <c r="C70" s="190" t="s">
        <v>20</v>
      </c>
      <c r="D70" s="186" t="str">
        <f>'3.RCI'!L9</f>
        <v>(NBL+WBT+SBR)*(SBT+SBL)</v>
      </c>
      <c r="E70" s="187">
        <f>'3.RCI'!M9</f>
        <v>303187500</v>
      </c>
      <c r="F70" s="662"/>
      <c r="G70" s="655"/>
      <c r="I70" s="652"/>
      <c r="J70" s="652"/>
      <c r="K70" s="190" t="s">
        <v>20</v>
      </c>
      <c r="L70" s="186">
        <f>'3.RCI'!Q9</f>
        <v>45</v>
      </c>
      <c r="M70" s="186">
        <f>'3.RCI'!R9</f>
        <v>20</v>
      </c>
      <c r="N70" s="186">
        <f>'3.RCI'!S9</f>
        <v>10</v>
      </c>
      <c r="O70" s="186">
        <f>'3.RCI'!T9</f>
        <v>12.77053292327718</v>
      </c>
      <c r="P70" s="186">
        <f>'3.RCI'!U9</f>
        <v>1.8390760451277139E-3</v>
      </c>
      <c r="Q70" s="186">
        <f>'3.RCI'!V9</f>
        <v>3.6747698895556653E-3</v>
      </c>
      <c r="R70" s="655"/>
      <c r="T70" s="618"/>
      <c r="U70" s="618"/>
      <c r="V70" s="74" t="s">
        <v>20</v>
      </c>
      <c r="W70" s="150" t="str">
        <f>'3.RCI'!Z9</f>
        <v>D</v>
      </c>
      <c r="X70" s="134" t="str">
        <f>'3.RCI'!AA9</f>
        <v>Permitted or yield control</v>
      </c>
      <c r="Y70" s="134">
        <f>'3.RCI'!AB9</f>
        <v>1</v>
      </c>
      <c r="Z70" s="134">
        <f>'3.RCI'!AC9</f>
        <v>0.5</v>
      </c>
      <c r="AA70" s="134">
        <f>'3.RCI'!AD9</f>
        <v>1</v>
      </c>
      <c r="AB70" s="134" t="str">
        <f>'3.RCI'!AE9</f>
        <v>NA</v>
      </c>
      <c r="AC70" s="134">
        <f>'3.RCI'!AF9</f>
        <v>0</v>
      </c>
      <c r="AD70" s="134">
        <f>'3.RCI'!AG9</f>
        <v>0</v>
      </c>
      <c r="AE70" s="134" t="str">
        <f>'3.RCI'!AH9</f>
        <v>NA</v>
      </c>
      <c r="AF70" s="134">
        <f>'3.RCI'!AI9</f>
        <v>0</v>
      </c>
      <c r="AG70" s="134">
        <f>'3.RCI'!AJ9</f>
        <v>0</v>
      </c>
      <c r="AH70" s="134">
        <f>'3.RCI'!AK9</f>
        <v>1</v>
      </c>
      <c r="AI70" s="134" t="str">
        <f>'3.RCI'!AL9</f>
        <v>NA</v>
      </c>
      <c r="AJ70" s="134">
        <f>'3.RCI'!AM9</f>
        <v>1</v>
      </c>
      <c r="AK70" s="140">
        <f>'3.RCI'!AN9</f>
        <v>1</v>
      </c>
      <c r="AL70" s="634"/>
      <c r="AN70" s="618"/>
      <c r="AO70" s="618"/>
      <c r="AP70" s="117" t="s">
        <v>20</v>
      </c>
      <c r="AQ70" s="157">
        <f>'3.RCI'!AR9</f>
        <v>303187500</v>
      </c>
      <c r="AR70" s="158">
        <f>'3.RCI'!AS9</f>
        <v>3.6747698895556653E-3</v>
      </c>
      <c r="AS70" s="116">
        <f>'3.RCI'!AT9</f>
        <v>1</v>
      </c>
      <c r="AT70" s="116">
        <f>'3.RCI'!AU9</f>
        <v>1</v>
      </c>
      <c r="AU70" s="6">
        <f>'3.RCI'!AV9</f>
        <v>1114144.2958896582</v>
      </c>
      <c r="AV70" s="621"/>
      <c r="AW70" s="621"/>
      <c r="AX70" s="624"/>
    </row>
    <row r="71" spans="1:50" ht="20.25" thickTop="1" thickBot="1" x14ac:dyDescent="0.35">
      <c r="A71" s="660"/>
      <c r="B71" s="660"/>
      <c r="C71" s="190" t="s">
        <v>28</v>
      </c>
      <c r="D71" s="186" t="str">
        <f>'3.RCI'!L10</f>
        <v>(SBT+SBL+EBR+EBT)*EBL</v>
      </c>
      <c r="E71" s="187">
        <f>'3.RCI'!M10</f>
        <v>298593750</v>
      </c>
      <c r="F71" s="662"/>
      <c r="G71" s="655"/>
      <c r="I71" s="652"/>
      <c r="J71" s="652"/>
      <c r="K71" s="190" t="s">
        <v>28</v>
      </c>
      <c r="L71" s="186">
        <f>'3.RCI'!Q10</f>
        <v>45</v>
      </c>
      <c r="M71" s="186">
        <f>'3.RCI'!R10</f>
        <v>20</v>
      </c>
      <c r="N71" s="186">
        <f>'3.RCI'!S10</f>
        <v>10</v>
      </c>
      <c r="O71" s="186">
        <f>'3.RCI'!T10</f>
        <v>12.77053292327718</v>
      </c>
      <c r="P71" s="186">
        <f>'3.RCI'!U10</f>
        <v>1.8390760451277139E-3</v>
      </c>
      <c r="Q71" s="186">
        <f>'3.RCI'!V10</f>
        <v>3.6747698895556653E-3</v>
      </c>
      <c r="R71" s="655"/>
      <c r="T71" s="618"/>
      <c r="U71" s="618"/>
      <c r="V71" s="74" t="s">
        <v>28</v>
      </c>
      <c r="W71" s="150" t="str">
        <f>'3.RCI'!Z10</f>
        <v>D</v>
      </c>
      <c r="X71" s="134" t="str">
        <f>'3.RCI'!AA10</f>
        <v>Permitted or yield control</v>
      </c>
      <c r="Y71" s="134">
        <f>'3.RCI'!AB10</f>
        <v>1</v>
      </c>
      <c r="Z71" s="134">
        <f>'3.RCI'!AC10</f>
        <v>0.5</v>
      </c>
      <c r="AA71" s="134">
        <f>'3.RCI'!AD10</f>
        <v>1</v>
      </c>
      <c r="AB71" s="134" t="str">
        <f>'3.RCI'!AE10</f>
        <v>NA</v>
      </c>
      <c r="AC71" s="134">
        <f>'3.RCI'!AF10</f>
        <v>0</v>
      </c>
      <c r="AD71" s="134">
        <f>'3.RCI'!AG10</f>
        <v>0</v>
      </c>
      <c r="AE71" s="134" t="str">
        <f>'3.RCI'!AH10</f>
        <v>NA</v>
      </c>
      <c r="AF71" s="134">
        <f>'3.RCI'!AI10</f>
        <v>0</v>
      </c>
      <c r="AG71" s="134">
        <f>'3.RCI'!AJ10</f>
        <v>0</v>
      </c>
      <c r="AH71" s="134">
        <f>'3.RCI'!AK10</f>
        <v>1</v>
      </c>
      <c r="AI71" s="134" t="str">
        <f>'3.RCI'!AL10</f>
        <v>NA</v>
      </c>
      <c r="AJ71" s="134">
        <f>'3.RCI'!AM10</f>
        <v>1</v>
      </c>
      <c r="AK71" s="140">
        <f>'3.RCI'!AN10</f>
        <v>1</v>
      </c>
      <c r="AL71" s="634"/>
      <c r="AN71" s="618"/>
      <c r="AO71" s="618"/>
      <c r="AP71" s="117" t="s">
        <v>28</v>
      </c>
      <c r="AQ71" s="157">
        <f>'3.RCI'!AR10</f>
        <v>298593750</v>
      </c>
      <c r="AR71" s="158">
        <f>'3.RCI'!AS10</f>
        <v>3.6747698895556653E-3</v>
      </c>
      <c r="AS71" s="116">
        <f>'3.RCI'!AT10</f>
        <v>1</v>
      </c>
      <c r="AT71" s="116">
        <f>'3.RCI'!AU10</f>
        <v>1</v>
      </c>
      <c r="AU71" s="6">
        <f>'3.RCI'!AV10</f>
        <v>1097263.321709512</v>
      </c>
      <c r="AV71" s="621"/>
      <c r="AW71" s="621"/>
      <c r="AX71" s="624"/>
    </row>
    <row r="72" spans="1:50" ht="20.25" thickTop="1" thickBot="1" x14ac:dyDescent="0.35">
      <c r="A72" s="660"/>
      <c r="B72" s="660"/>
      <c r="C72" s="209" t="s">
        <v>21</v>
      </c>
      <c r="D72" s="192" t="str">
        <f>'3.RCI'!L11</f>
        <v>(SBT+EBR)*(SBL*EBT)</v>
      </c>
      <c r="E72" s="193">
        <f>'3.RCI'!M11</f>
        <v>333640625</v>
      </c>
      <c r="F72" s="663"/>
      <c r="G72" s="656"/>
      <c r="I72" s="652"/>
      <c r="J72" s="652"/>
      <c r="K72" s="209" t="s">
        <v>21</v>
      </c>
      <c r="L72" s="192">
        <f>'3.RCI'!Q11</f>
        <v>45</v>
      </c>
      <c r="M72" s="192">
        <f>'3.RCI'!R11</f>
        <v>15</v>
      </c>
      <c r="N72" s="192">
        <f>'3.RCI'!S11</f>
        <v>10</v>
      </c>
      <c r="O72" s="192">
        <f>'3.RCI'!T11</f>
        <v>15.169950011729762</v>
      </c>
      <c r="P72" s="192">
        <f>'3.RCI'!U11</f>
        <v>3.5318107578168117E-3</v>
      </c>
      <c r="Q72" s="192">
        <f>'3.RCI'!V11</f>
        <v>7.051147828404593E-3</v>
      </c>
      <c r="R72" s="656"/>
      <c r="T72" s="618"/>
      <c r="U72" s="618"/>
      <c r="V72" s="84" t="s">
        <v>21</v>
      </c>
      <c r="W72" s="150" t="str">
        <f>'3.RCI'!Z11</f>
        <v>D</v>
      </c>
      <c r="X72" s="153" t="str">
        <f>'3.RCI'!AA11</f>
        <v>Permitted or yield control</v>
      </c>
      <c r="Y72" s="153">
        <f>'3.RCI'!AB11</f>
        <v>1</v>
      </c>
      <c r="Z72" s="153">
        <f>'3.RCI'!AC11</f>
        <v>0.5</v>
      </c>
      <c r="AA72" s="153">
        <f>'3.RCI'!AD11</f>
        <v>1</v>
      </c>
      <c r="AB72" s="153" t="str">
        <f>'3.RCI'!AE11</f>
        <v>NA</v>
      </c>
      <c r="AC72" s="153">
        <f>'3.RCI'!AF11</f>
        <v>0</v>
      </c>
      <c r="AD72" s="153">
        <f>'3.RCI'!AG11</f>
        <v>0</v>
      </c>
      <c r="AE72" s="153" t="str">
        <f>'3.RCI'!AH11</f>
        <v>NA</v>
      </c>
      <c r="AF72" s="153">
        <f>'3.RCI'!AI11</f>
        <v>0</v>
      </c>
      <c r="AG72" s="153">
        <f>'3.RCI'!AJ11</f>
        <v>0</v>
      </c>
      <c r="AH72" s="153">
        <f>'3.RCI'!AK11</f>
        <v>1</v>
      </c>
      <c r="AI72" s="153" t="str">
        <f>'3.RCI'!AL11</f>
        <v>NA</v>
      </c>
      <c r="AJ72" s="153">
        <f>'3.RCI'!AM11</f>
        <v>1</v>
      </c>
      <c r="AK72" s="154">
        <f>'3.RCI'!AN11</f>
        <v>1</v>
      </c>
      <c r="AL72" s="635"/>
      <c r="AN72" s="618"/>
      <c r="AO72" s="618"/>
      <c r="AP72" s="128" t="s">
        <v>21</v>
      </c>
      <c r="AQ72" s="157">
        <f>'3.RCI'!AR11</f>
        <v>333640625</v>
      </c>
      <c r="AR72" s="158">
        <f>'3.RCI'!AS11</f>
        <v>7.051147828404593E-3</v>
      </c>
      <c r="AS72" s="116">
        <f>'3.RCI'!AT11</f>
        <v>1</v>
      </c>
      <c r="AT72" s="116">
        <f>'3.RCI'!AU11</f>
        <v>1</v>
      </c>
      <c r="AU72" s="6">
        <f>'3.RCI'!AV11</f>
        <v>2352549.3684363011</v>
      </c>
      <c r="AV72" s="622"/>
      <c r="AW72" s="622"/>
      <c r="AX72" s="624"/>
    </row>
    <row r="73" spans="1:50" ht="20.25" thickTop="1" thickBot="1" x14ac:dyDescent="0.35">
      <c r="A73" s="660"/>
      <c r="B73" s="660"/>
      <c r="C73" s="196" t="s">
        <v>26</v>
      </c>
      <c r="D73" s="182" t="str">
        <f>'3.RCI'!L12</f>
        <v>(NBR+NBT+NBL)*(EBT+SBL)</v>
      </c>
      <c r="E73" s="195">
        <f>'3.RCI'!M12</f>
        <v>336187500</v>
      </c>
      <c r="F73" s="661">
        <f>SUM(E73:E78)</f>
        <v>1742843750</v>
      </c>
      <c r="G73" s="654">
        <f>F73/F13</f>
        <v>2.4815787131796743</v>
      </c>
      <c r="I73" s="652"/>
      <c r="J73" s="652"/>
      <c r="K73" s="196" t="s">
        <v>26</v>
      </c>
      <c r="L73" s="182">
        <f>'3.RCI'!Q12</f>
        <v>45</v>
      </c>
      <c r="M73" s="182">
        <f>'3.RCI'!R12</f>
        <v>15</v>
      </c>
      <c r="N73" s="182">
        <f>'3.RCI'!S12</f>
        <v>45</v>
      </c>
      <c r="O73" s="182">
        <f>'3.RCI'!T12</f>
        <v>17.995873453365363</v>
      </c>
      <c r="P73" s="182">
        <f>'3.RCI'!U12</f>
        <v>6.7479662925189346E-3</v>
      </c>
      <c r="Q73" s="182">
        <f>'3.RCI'!V12</f>
        <v>1.3450397535952898E-2</v>
      </c>
      <c r="R73" s="654">
        <f>'3.RCI'!W12</f>
        <v>9.0983041575331304E-3</v>
      </c>
      <c r="T73" s="618"/>
      <c r="U73" s="618"/>
      <c r="V73" s="82" t="s">
        <v>26</v>
      </c>
      <c r="W73" s="147" t="str">
        <f>'3.RCI'!Z12</f>
        <v>M</v>
      </c>
      <c r="X73" s="137" t="str">
        <f>'3.RCI'!AA12</f>
        <v>Protected</v>
      </c>
      <c r="Y73" s="137">
        <f>'3.RCI'!AB12</f>
        <v>0.01</v>
      </c>
      <c r="Z73" s="137">
        <f>'3.RCI'!AC12</f>
        <v>0.5</v>
      </c>
      <c r="AA73" s="137">
        <f>'3.RCI'!AD12</f>
        <v>0.505</v>
      </c>
      <c r="AB73" s="137">
        <f>'3.RCI'!AE12</f>
        <v>0</v>
      </c>
      <c r="AC73" s="137">
        <f>'3.RCI'!AF12</f>
        <v>0</v>
      </c>
      <c r="AD73" s="137">
        <f>'3.RCI'!AG12</f>
        <v>1</v>
      </c>
      <c r="AE73" s="137" t="str">
        <f>'3.RCI'!AH12</f>
        <v>EBT</v>
      </c>
      <c r="AF73" s="137">
        <f>'3.RCI'!AI12</f>
        <v>2</v>
      </c>
      <c r="AG73" s="137">
        <f>'3.RCI'!AJ12</f>
        <v>1.75</v>
      </c>
      <c r="AH73" s="137">
        <f>'3.RCI'!AK12</f>
        <v>1.75</v>
      </c>
      <c r="AI73" s="137">
        <f>'3.RCI'!AL12</f>
        <v>45</v>
      </c>
      <c r="AJ73" s="137">
        <f>'3.RCI'!AM12</f>
        <v>0.83333333333333326</v>
      </c>
      <c r="AK73" s="138">
        <f>'3.RCI'!AN12</f>
        <v>0.73645833333333333</v>
      </c>
      <c r="AL73" s="633">
        <f>'3.RCI'!AO12</f>
        <v>0.7715277777777777</v>
      </c>
      <c r="AN73" s="618"/>
      <c r="AO73" s="618"/>
      <c r="AP73" s="126" t="s">
        <v>26</v>
      </c>
      <c r="AQ73" s="157">
        <f>'3.RCI'!AR12</f>
        <v>336187500</v>
      </c>
      <c r="AR73" s="158">
        <f>'3.RCI'!AS12</f>
        <v>1.3450397535952898E-2</v>
      </c>
      <c r="AS73" s="116">
        <f>'3.RCI'!AT12</f>
        <v>0.73645833333333333</v>
      </c>
      <c r="AT73" s="116">
        <f>'3.RCI'!AU12</f>
        <v>1</v>
      </c>
      <c r="AU73" s="6">
        <f>'3.RCI'!AV12</f>
        <v>3330158.1810250445</v>
      </c>
      <c r="AV73" s="620">
        <f>'3.RCI'!AW12</f>
        <v>14716446.9102821</v>
      </c>
      <c r="AW73" s="620">
        <f>'3.RCI'!AX12</f>
        <v>34.157322368738384</v>
      </c>
      <c r="AX73" s="624"/>
    </row>
    <row r="74" spans="1:50" ht="20.25" thickTop="1" thickBot="1" x14ac:dyDescent="0.35">
      <c r="A74" s="660"/>
      <c r="B74" s="660"/>
      <c r="C74" s="194" t="s">
        <v>27</v>
      </c>
      <c r="D74" s="186" t="str">
        <f>'3.RCI'!L13</f>
        <v>(NBT+NBL)*(WBR+WBT+WBL)</v>
      </c>
      <c r="E74" s="187">
        <f>'3.RCI'!M13</f>
        <v>402187500</v>
      </c>
      <c r="F74" s="662"/>
      <c r="G74" s="655"/>
      <c r="I74" s="652"/>
      <c r="J74" s="652"/>
      <c r="K74" s="194" t="s">
        <v>27</v>
      </c>
      <c r="L74" s="186">
        <f>'3.RCI'!Q13</f>
        <v>45</v>
      </c>
      <c r="M74" s="186">
        <f>'3.RCI'!R13</f>
        <v>15</v>
      </c>
      <c r="N74" s="186">
        <f>'3.RCI'!S13</f>
        <v>45</v>
      </c>
      <c r="O74" s="186">
        <f>'3.RCI'!T13</f>
        <v>17.995873453365363</v>
      </c>
      <c r="P74" s="186">
        <f>'3.RCI'!U13</f>
        <v>6.7479662925189346E-3</v>
      </c>
      <c r="Q74" s="186">
        <f>'3.RCI'!V13</f>
        <v>1.3450397535952898E-2</v>
      </c>
      <c r="R74" s="655"/>
      <c r="T74" s="618"/>
      <c r="U74" s="618"/>
      <c r="V74" s="76" t="s">
        <v>27</v>
      </c>
      <c r="W74" s="148" t="str">
        <f>'3.RCI'!Z13</f>
        <v>M</v>
      </c>
      <c r="X74" s="134" t="str">
        <f>'3.RCI'!AA13</f>
        <v>Protected</v>
      </c>
      <c r="Y74" s="134">
        <f>'3.RCI'!AB13</f>
        <v>0.01</v>
      </c>
      <c r="Z74" s="134">
        <f>'3.RCI'!AC13</f>
        <v>0.5</v>
      </c>
      <c r="AA74" s="134">
        <f>'3.RCI'!AD13</f>
        <v>0.505</v>
      </c>
      <c r="AB74" s="134">
        <f>'3.RCI'!AE13</f>
        <v>0</v>
      </c>
      <c r="AC74" s="134">
        <f>'3.RCI'!AF13</f>
        <v>0</v>
      </c>
      <c r="AD74" s="134">
        <f>'3.RCI'!AG13</f>
        <v>1</v>
      </c>
      <c r="AE74" s="134" t="str">
        <f>'3.RCI'!AH13</f>
        <v>WBT</v>
      </c>
      <c r="AF74" s="134">
        <f>'3.RCI'!AI13</f>
        <v>2</v>
      </c>
      <c r="AG74" s="134">
        <f>'3.RCI'!AJ13</f>
        <v>1.75</v>
      </c>
      <c r="AH74" s="134">
        <f>'3.RCI'!AK13</f>
        <v>1.75</v>
      </c>
      <c r="AI74" s="134">
        <f>'3.RCI'!AL13</f>
        <v>45</v>
      </c>
      <c r="AJ74" s="134">
        <f>'3.RCI'!AM13</f>
        <v>0.83333333333333326</v>
      </c>
      <c r="AK74" s="140">
        <f>'3.RCI'!AN13</f>
        <v>0.73645833333333333</v>
      </c>
      <c r="AL74" s="634"/>
      <c r="AN74" s="618"/>
      <c r="AO74" s="618"/>
      <c r="AP74" s="120" t="s">
        <v>27</v>
      </c>
      <c r="AQ74" s="157">
        <f>'3.RCI'!AR13</f>
        <v>402187500</v>
      </c>
      <c r="AR74" s="158">
        <f>'3.RCI'!AS13</f>
        <v>1.3450397535952898E-2</v>
      </c>
      <c r="AS74" s="116">
        <f>'3.RCI'!AT13</f>
        <v>0.73645833333333333</v>
      </c>
      <c r="AT74" s="116">
        <f>'3.RCI'!AU13</f>
        <v>1</v>
      </c>
      <c r="AU74" s="6">
        <f>'3.RCI'!AV13</f>
        <v>3983931.5662569548</v>
      </c>
      <c r="AV74" s="621"/>
      <c r="AW74" s="621"/>
      <c r="AX74" s="624"/>
    </row>
    <row r="75" spans="1:50" ht="20.25" thickTop="1" thickBot="1" x14ac:dyDescent="0.35">
      <c r="A75" s="660"/>
      <c r="B75" s="660"/>
      <c r="C75" s="197" t="s">
        <v>22</v>
      </c>
      <c r="D75" s="186" t="str">
        <f>'3.RCI'!L14</f>
        <v>(NBT+WBR)*EBL</v>
      </c>
      <c r="E75" s="187">
        <f>'3.RCI'!M14</f>
        <v>133046875</v>
      </c>
      <c r="F75" s="662"/>
      <c r="G75" s="655"/>
      <c r="I75" s="652"/>
      <c r="J75" s="652"/>
      <c r="K75" s="197" t="s">
        <v>22</v>
      </c>
      <c r="L75" s="186">
        <f>'3.RCI'!Q14</f>
        <v>20</v>
      </c>
      <c r="M75" s="186">
        <f>'3.RCI'!R14</f>
        <v>15</v>
      </c>
      <c r="N75" s="186">
        <f>'3.RCI'!S14</f>
        <v>45</v>
      </c>
      <c r="O75" s="186">
        <f>'3.RCI'!T14</f>
        <v>7.0840654162717795</v>
      </c>
      <c r="P75" s="186">
        <f>'3.RCI'!U14</f>
        <v>1.9707812023953651E-4</v>
      </c>
      <c r="Q75" s="186">
        <f>'3.RCI'!V14</f>
        <v>3.9411740069359585E-4</v>
      </c>
      <c r="R75" s="655"/>
      <c r="T75" s="618"/>
      <c r="U75" s="618"/>
      <c r="V75" s="77" t="s">
        <v>22</v>
      </c>
      <c r="W75" s="148" t="str">
        <f>'3.RCI'!Z14</f>
        <v>M</v>
      </c>
      <c r="X75" s="134" t="str">
        <f>'3.RCI'!AA14</f>
        <v>Protected</v>
      </c>
      <c r="Y75" s="134">
        <f>'3.RCI'!AB14</f>
        <v>0.01</v>
      </c>
      <c r="Z75" s="134">
        <f>'3.RCI'!AC14</f>
        <v>0.5</v>
      </c>
      <c r="AA75" s="134">
        <f>'3.RCI'!AD14</f>
        <v>0.505</v>
      </c>
      <c r="AB75" s="134" t="str">
        <f>'3.RCI'!AE14</f>
        <v>WBT</v>
      </c>
      <c r="AC75" s="134">
        <f>'3.RCI'!AF14</f>
        <v>2</v>
      </c>
      <c r="AD75" s="134">
        <f>'3.RCI'!AG14</f>
        <v>0</v>
      </c>
      <c r="AE75" s="134" t="str">
        <f>'3.RCI'!AH14</f>
        <v>NBT</v>
      </c>
      <c r="AF75" s="134">
        <f>'3.RCI'!AI14</f>
        <v>1</v>
      </c>
      <c r="AG75" s="134">
        <f>'3.RCI'!AJ14</f>
        <v>0</v>
      </c>
      <c r="AH75" s="134">
        <f>'3.RCI'!AK14</f>
        <v>2</v>
      </c>
      <c r="AI75" s="134">
        <f>'3.RCI'!AL14</f>
        <v>45</v>
      </c>
      <c r="AJ75" s="134">
        <f>'3.RCI'!AM14</f>
        <v>0.83333333333333326</v>
      </c>
      <c r="AK75" s="140">
        <f>'3.RCI'!AN14</f>
        <v>0.84166666666666656</v>
      </c>
      <c r="AL75" s="634"/>
      <c r="AN75" s="618"/>
      <c r="AO75" s="618"/>
      <c r="AP75" s="121" t="s">
        <v>22</v>
      </c>
      <c r="AQ75" s="157">
        <f>'3.RCI'!AR14</f>
        <v>133046875</v>
      </c>
      <c r="AR75" s="158">
        <f>'3.RCI'!AS14</f>
        <v>3.9411740069359585E-4</v>
      </c>
      <c r="AS75" s="116">
        <f>'3.RCI'!AT14</f>
        <v>0.84166666666666656</v>
      </c>
      <c r="AT75" s="116">
        <f>'3.RCI'!AU14</f>
        <v>1</v>
      </c>
      <c r="AU75" s="6">
        <f>'3.RCI'!AV14</f>
        <v>44133.707859049842</v>
      </c>
      <c r="AV75" s="621"/>
      <c r="AW75" s="621"/>
      <c r="AX75" s="624"/>
    </row>
    <row r="76" spans="1:50" ht="20.25" thickTop="1" thickBot="1" x14ac:dyDescent="0.35">
      <c r="A76" s="660"/>
      <c r="B76" s="660"/>
      <c r="C76" s="197" t="s">
        <v>20</v>
      </c>
      <c r="D76" s="186" t="str">
        <f>'3.RCI'!L15</f>
        <v>(SBR+SBT+SBL)*(NBL+WBT)</v>
      </c>
      <c r="E76" s="187">
        <f>'3.RCI'!M15</f>
        <v>336187500</v>
      </c>
      <c r="F76" s="662"/>
      <c r="G76" s="655"/>
      <c r="I76" s="652"/>
      <c r="J76" s="652"/>
      <c r="K76" s="197" t="s">
        <v>20</v>
      </c>
      <c r="L76" s="186">
        <f>'3.RCI'!Q15</f>
        <v>45</v>
      </c>
      <c r="M76" s="186">
        <f>'3.RCI'!R15</f>
        <v>15</v>
      </c>
      <c r="N76" s="186">
        <f>'3.RCI'!S15</f>
        <v>45</v>
      </c>
      <c r="O76" s="186">
        <f>'3.RCI'!T15</f>
        <v>17.995873453365363</v>
      </c>
      <c r="P76" s="186">
        <f>'3.RCI'!U15</f>
        <v>6.7479662925189346E-3</v>
      </c>
      <c r="Q76" s="186">
        <f>'3.RCI'!V15</f>
        <v>1.3450397535952898E-2</v>
      </c>
      <c r="R76" s="655"/>
      <c r="T76" s="618"/>
      <c r="U76" s="618"/>
      <c r="V76" s="77" t="s">
        <v>20</v>
      </c>
      <c r="W76" s="148" t="str">
        <f>'3.RCI'!Z15</f>
        <v>M</v>
      </c>
      <c r="X76" s="134" t="str">
        <f>'3.RCI'!AA15</f>
        <v>Protected</v>
      </c>
      <c r="Y76" s="134">
        <f>'3.RCI'!AB15</f>
        <v>0.01</v>
      </c>
      <c r="Z76" s="134">
        <f>'3.RCI'!AC15</f>
        <v>0.5</v>
      </c>
      <c r="AA76" s="134">
        <f>'3.RCI'!AD15</f>
        <v>0.505</v>
      </c>
      <c r="AB76" s="134">
        <f>'3.RCI'!AE15</f>
        <v>0</v>
      </c>
      <c r="AC76" s="134">
        <f>'3.RCI'!AF15</f>
        <v>0</v>
      </c>
      <c r="AD76" s="134">
        <f>'3.RCI'!AG15</f>
        <v>1</v>
      </c>
      <c r="AE76" s="134" t="str">
        <f>'3.RCI'!AH15</f>
        <v>WBT</v>
      </c>
      <c r="AF76" s="134">
        <f>'3.RCI'!AI15</f>
        <v>2</v>
      </c>
      <c r="AG76" s="134">
        <f>'3.RCI'!AJ15</f>
        <v>1.75</v>
      </c>
      <c r="AH76" s="134">
        <f>'3.RCI'!AK15</f>
        <v>1.75</v>
      </c>
      <c r="AI76" s="134">
        <f>'3.RCI'!AL15</f>
        <v>45</v>
      </c>
      <c r="AJ76" s="134">
        <f>'3.RCI'!AM15</f>
        <v>0.83333333333333326</v>
      </c>
      <c r="AK76" s="140">
        <f>'3.RCI'!AN15</f>
        <v>0.73645833333333333</v>
      </c>
      <c r="AL76" s="634"/>
      <c r="AN76" s="618"/>
      <c r="AO76" s="618"/>
      <c r="AP76" s="121" t="s">
        <v>20</v>
      </c>
      <c r="AQ76" s="157">
        <f>'3.RCI'!AR15</f>
        <v>336187500</v>
      </c>
      <c r="AR76" s="158">
        <f>'3.RCI'!AS15</f>
        <v>1.3450397535952898E-2</v>
      </c>
      <c r="AS76" s="116">
        <f>'3.RCI'!AT15</f>
        <v>0.73645833333333333</v>
      </c>
      <c r="AT76" s="116">
        <f>'3.RCI'!AU15</f>
        <v>1</v>
      </c>
      <c r="AU76" s="6">
        <f>'3.RCI'!AV15</f>
        <v>3330158.1810250445</v>
      </c>
      <c r="AV76" s="621"/>
      <c r="AW76" s="621"/>
      <c r="AX76" s="624"/>
    </row>
    <row r="77" spans="1:50" ht="20.25" thickTop="1" thickBot="1" x14ac:dyDescent="0.35">
      <c r="A77" s="660"/>
      <c r="B77" s="660"/>
      <c r="C77" s="197" t="s">
        <v>28</v>
      </c>
      <c r="D77" s="186" t="str">
        <f>'3.RCI'!L16</f>
        <v>(SBT+SBL)*(EBR+EBT+EBL)</v>
      </c>
      <c r="E77" s="187">
        <f>'3.RCI'!M16</f>
        <v>402187500</v>
      </c>
      <c r="F77" s="662"/>
      <c r="G77" s="655"/>
      <c r="I77" s="652"/>
      <c r="J77" s="652"/>
      <c r="K77" s="197" t="s">
        <v>28</v>
      </c>
      <c r="L77" s="186">
        <f>'3.RCI'!Q16</f>
        <v>45</v>
      </c>
      <c r="M77" s="186">
        <f>'3.RCI'!R16</f>
        <v>15</v>
      </c>
      <c r="N77" s="186">
        <f>'3.RCI'!S16</f>
        <v>45</v>
      </c>
      <c r="O77" s="186">
        <f>'3.RCI'!T16</f>
        <v>17.995873453365363</v>
      </c>
      <c r="P77" s="186">
        <f>'3.RCI'!U16</f>
        <v>6.7479662925189346E-3</v>
      </c>
      <c r="Q77" s="186">
        <f>'3.RCI'!V16</f>
        <v>1.3450397535952898E-2</v>
      </c>
      <c r="R77" s="655"/>
      <c r="T77" s="618"/>
      <c r="U77" s="618"/>
      <c r="V77" s="77" t="s">
        <v>28</v>
      </c>
      <c r="W77" s="148" t="str">
        <f>'3.RCI'!Z16</f>
        <v>M</v>
      </c>
      <c r="X77" s="134" t="str">
        <f>'3.RCI'!AA16</f>
        <v>Protected</v>
      </c>
      <c r="Y77" s="134">
        <f>'3.RCI'!AB16</f>
        <v>0.01</v>
      </c>
      <c r="Z77" s="134">
        <f>'3.RCI'!AC16</f>
        <v>0.5</v>
      </c>
      <c r="AA77" s="134">
        <f>'3.RCI'!AD16</f>
        <v>0.505</v>
      </c>
      <c r="AB77" s="134">
        <f>'3.RCI'!AE16</f>
        <v>0</v>
      </c>
      <c r="AC77" s="134">
        <f>'3.RCI'!AF16</f>
        <v>0</v>
      </c>
      <c r="AD77" s="134">
        <f>'3.RCI'!AG16</f>
        <v>1</v>
      </c>
      <c r="AE77" s="134" t="str">
        <f>'3.RCI'!AH16</f>
        <v>EBT</v>
      </c>
      <c r="AF77" s="134">
        <f>'3.RCI'!AI16</f>
        <v>2</v>
      </c>
      <c r="AG77" s="134">
        <f>'3.RCI'!AJ16</f>
        <v>1.75</v>
      </c>
      <c r="AH77" s="134">
        <f>'3.RCI'!AK16</f>
        <v>1.75</v>
      </c>
      <c r="AI77" s="134">
        <f>'3.RCI'!AL16</f>
        <v>45</v>
      </c>
      <c r="AJ77" s="134">
        <f>'3.RCI'!AM16</f>
        <v>0.83333333333333326</v>
      </c>
      <c r="AK77" s="140">
        <f>'3.RCI'!AN16</f>
        <v>0.73645833333333333</v>
      </c>
      <c r="AL77" s="634"/>
      <c r="AN77" s="618"/>
      <c r="AO77" s="618"/>
      <c r="AP77" s="121" t="s">
        <v>28</v>
      </c>
      <c r="AQ77" s="157">
        <f>'3.RCI'!AR16</f>
        <v>402187500</v>
      </c>
      <c r="AR77" s="158">
        <f>'3.RCI'!AS16</f>
        <v>1.3450397535952898E-2</v>
      </c>
      <c r="AS77" s="116">
        <f>'3.RCI'!AT16</f>
        <v>0.73645833333333333</v>
      </c>
      <c r="AT77" s="116">
        <f>'3.RCI'!AU16</f>
        <v>1</v>
      </c>
      <c r="AU77" s="6">
        <f>'3.RCI'!AV16</f>
        <v>3983931.5662569548</v>
      </c>
      <c r="AV77" s="621"/>
      <c r="AW77" s="621"/>
      <c r="AX77" s="624"/>
    </row>
    <row r="78" spans="1:50" ht="20.25" thickTop="1" thickBot="1" x14ac:dyDescent="0.35">
      <c r="A78" s="660"/>
      <c r="B78" s="660"/>
      <c r="C78" s="208" t="s">
        <v>21</v>
      </c>
      <c r="D78" s="192" t="str">
        <f>'3.RCI'!L17</f>
        <v>WBL*(EBR+SBT)</v>
      </c>
      <c r="E78" s="193">
        <f>'3.RCI'!M17</f>
        <v>133046875</v>
      </c>
      <c r="F78" s="663"/>
      <c r="G78" s="656"/>
      <c r="I78" s="652"/>
      <c r="J78" s="652"/>
      <c r="K78" s="208" t="s">
        <v>21</v>
      </c>
      <c r="L78" s="192">
        <f>'3.RCI'!Q17</f>
        <v>20</v>
      </c>
      <c r="M78" s="192">
        <f>'3.RCI'!R17</f>
        <v>15</v>
      </c>
      <c r="N78" s="192">
        <f>'3.RCI'!S17</f>
        <v>45</v>
      </c>
      <c r="O78" s="192">
        <f>'3.RCI'!T17</f>
        <v>7.0840654162717795</v>
      </c>
      <c r="P78" s="192">
        <f>'3.RCI'!U17</f>
        <v>1.9707812023953651E-4</v>
      </c>
      <c r="Q78" s="192">
        <f>'3.RCI'!V17</f>
        <v>3.9411740069359585E-4</v>
      </c>
      <c r="R78" s="656"/>
      <c r="T78" s="618"/>
      <c r="U78" s="618"/>
      <c r="V78" s="85" t="s">
        <v>21</v>
      </c>
      <c r="W78" s="148" t="str">
        <f>'3.RCI'!Z17</f>
        <v>M</v>
      </c>
      <c r="X78" s="142" t="str">
        <f>'3.RCI'!AA17</f>
        <v>Protected</v>
      </c>
      <c r="Y78" s="142">
        <f>'3.RCI'!AB17</f>
        <v>0.01</v>
      </c>
      <c r="Z78" s="142">
        <f>'3.RCI'!AC17</f>
        <v>0.5</v>
      </c>
      <c r="AA78" s="142">
        <f>'3.RCI'!AD17</f>
        <v>0.505</v>
      </c>
      <c r="AB78" s="142" t="str">
        <f>'3.RCI'!AE17</f>
        <v>EBT</v>
      </c>
      <c r="AC78" s="142">
        <f>'3.RCI'!AF17</f>
        <v>2</v>
      </c>
      <c r="AD78" s="142">
        <f>'3.RCI'!AG17</f>
        <v>0</v>
      </c>
      <c r="AE78" s="142" t="str">
        <f>'3.RCI'!AH17</f>
        <v>SBT</v>
      </c>
      <c r="AF78" s="142">
        <f>'3.RCI'!AI17</f>
        <v>1</v>
      </c>
      <c r="AG78" s="142">
        <f>'3.RCI'!AJ17</f>
        <v>0</v>
      </c>
      <c r="AH78" s="142">
        <f>'3.RCI'!AK17</f>
        <v>2</v>
      </c>
      <c r="AI78" s="142">
        <f>'3.RCI'!AL17</f>
        <v>45</v>
      </c>
      <c r="AJ78" s="142">
        <f>'3.RCI'!AM17</f>
        <v>0.83333333333333326</v>
      </c>
      <c r="AK78" s="143">
        <f>'3.RCI'!AN17</f>
        <v>0.84166666666666656</v>
      </c>
      <c r="AL78" s="635"/>
      <c r="AN78" s="618"/>
      <c r="AO78" s="618"/>
      <c r="AP78" s="129" t="s">
        <v>21</v>
      </c>
      <c r="AQ78" s="159">
        <f>'3.RCI'!AR17</f>
        <v>133046875</v>
      </c>
      <c r="AR78" s="160">
        <f>'3.RCI'!AS17</f>
        <v>3.9411740069359585E-4</v>
      </c>
      <c r="AS78" s="119">
        <f>'3.RCI'!AT17</f>
        <v>0.84166666666666656</v>
      </c>
      <c r="AT78" s="119">
        <f>'3.RCI'!AU17</f>
        <v>1</v>
      </c>
      <c r="AU78" s="7">
        <f>'3.RCI'!AV17</f>
        <v>44133.707859049842</v>
      </c>
      <c r="AV78" s="622"/>
      <c r="AW78" s="622"/>
      <c r="AX78" s="624"/>
    </row>
    <row r="79" spans="1:50" ht="20.25" thickTop="1" thickBot="1" x14ac:dyDescent="0.35">
      <c r="A79" s="660"/>
      <c r="B79" s="660"/>
      <c r="C79" s="199" t="s">
        <v>26</v>
      </c>
      <c r="D79" s="201" t="str">
        <f>'3.RCI'!L18</f>
        <v>EBL*(WBT+NBL)</v>
      </c>
      <c r="E79" s="183">
        <f>'3.RCI'!M18</f>
        <v>165546875</v>
      </c>
      <c r="F79" s="661">
        <f>SUM(E79:E80)</f>
        <v>331093750</v>
      </c>
      <c r="G79" s="654">
        <f>F79/F21</f>
        <v>0.26058832210143146</v>
      </c>
      <c r="I79" s="652"/>
      <c r="J79" s="652"/>
      <c r="K79" s="199" t="s">
        <v>26</v>
      </c>
      <c r="L79" s="201">
        <f>'3.RCI'!Q18</f>
        <v>45</v>
      </c>
      <c r="M79" s="201">
        <f>'3.RCI'!R18</f>
        <v>20</v>
      </c>
      <c r="N79" s="201">
        <f>'3.RCI'!S18</f>
        <v>230</v>
      </c>
      <c r="O79" s="201">
        <f>'3.RCI'!T18</f>
        <v>29.924979939156898</v>
      </c>
      <c r="P79" s="201">
        <f>'3.RCI'!U18</f>
        <v>4.6369867746318419E-2</v>
      </c>
      <c r="Q79" s="201">
        <f>'3.RCI'!V18</f>
        <v>9.0589570857825777E-2</v>
      </c>
      <c r="R79" s="654">
        <f>'3.RCI'!W18</f>
        <v>9.0589570857825777E-2</v>
      </c>
      <c r="T79" s="618"/>
      <c r="U79" s="618"/>
      <c r="V79" s="79" t="s">
        <v>26</v>
      </c>
      <c r="W79" s="147" t="str">
        <f>'3.RCI'!Z18</f>
        <v>C</v>
      </c>
      <c r="X79" s="151" t="str">
        <f>'3.RCI'!AA18</f>
        <v xml:space="preserve">Protected </v>
      </c>
      <c r="Y79" s="151">
        <f>'3.RCI'!AB18</f>
        <v>0.01</v>
      </c>
      <c r="Z79" s="151">
        <f>'3.RCI'!AC18</f>
        <v>0.5</v>
      </c>
      <c r="AA79" s="151">
        <f>'3.RCI'!AD18</f>
        <v>0.505</v>
      </c>
      <c r="AB79" s="151" t="str">
        <f>'3.RCI'!AE18</f>
        <v>WBT</v>
      </c>
      <c r="AC79" s="151">
        <f>'3.RCI'!AF18</f>
        <v>2</v>
      </c>
      <c r="AD79" s="151">
        <f>'3.RCI'!AG18</f>
        <v>1</v>
      </c>
      <c r="AE79" s="151" t="str">
        <f>'3.RCI'!AH18</f>
        <v>NBT</v>
      </c>
      <c r="AF79" s="151">
        <f>'3.RCI'!AI18</f>
        <v>1</v>
      </c>
      <c r="AG79" s="151">
        <f>'3.RCI'!AJ18</f>
        <v>1</v>
      </c>
      <c r="AH79" s="151">
        <f>'3.RCI'!AK18</f>
        <v>3</v>
      </c>
      <c r="AI79" s="151">
        <f>'3.RCI'!AL18</f>
        <v>45</v>
      </c>
      <c r="AJ79" s="151">
        <f>'3.RCI'!AM18</f>
        <v>0.83333333333333326</v>
      </c>
      <c r="AK79" s="152">
        <f>'3.RCI'!AN18</f>
        <v>1.2625</v>
      </c>
      <c r="AL79" s="633">
        <f>'3.RCI'!AO18</f>
        <v>1.2625</v>
      </c>
      <c r="AN79" s="618"/>
      <c r="AO79" s="618"/>
      <c r="AP79" s="123" t="s">
        <v>26</v>
      </c>
      <c r="AQ79" s="156">
        <f>'3.RCI'!AR18</f>
        <v>165546875</v>
      </c>
      <c r="AR79" s="133">
        <f>'3.RCI'!AS18</f>
        <v>9.0589570857825777E-2</v>
      </c>
      <c r="AS79" s="114">
        <f>'3.RCI'!AT18</f>
        <v>1.2625</v>
      </c>
      <c r="AT79" s="114">
        <f>'3.RCI'!AU18</f>
        <v>1</v>
      </c>
      <c r="AU79" s="5">
        <f>'3.RCI'!AV18</f>
        <v>18933485.708418962</v>
      </c>
      <c r="AV79" s="620">
        <f>'3.RCI'!AW18</f>
        <v>37866971.416837923</v>
      </c>
      <c r="AW79" s="620">
        <f>'3.RCI'!AX18</f>
        <v>6.3038318194321956</v>
      </c>
      <c r="AX79" s="624"/>
    </row>
    <row r="80" spans="1:50" ht="20.25" thickTop="1" thickBot="1" x14ac:dyDescent="0.35">
      <c r="A80" s="660"/>
      <c r="B80" s="660"/>
      <c r="C80" s="204" t="s">
        <v>27</v>
      </c>
      <c r="D80" s="192" t="str">
        <f>'3.RCI'!L19</f>
        <v>WBL*(EBT+SBL)</v>
      </c>
      <c r="E80" s="193">
        <f>'3.RCI'!M19</f>
        <v>165546875</v>
      </c>
      <c r="F80" s="663"/>
      <c r="G80" s="656"/>
      <c r="I80" s="653"/>
      <c r="J80" s="653"/>
      <c r="K80" s="204" t="s">
        <v>27</v>
      </c>
      <c r="L80" s="192">
        <f>'3.RCI'!Q19</f>
        <v>45</v>
      </c>
      <c r="M80" s="192">
        <f>'3.RCI'!R19</f>
        <v>20</v>
      </c>
      <c r="N80" s="192">
        <f>'3.RCI'!S19</f>
        <v>230</v>
      </c>
      <c r="O80" s="192">
        <f>'3.RCI'!T19</f>
        <v>29.924979939156898</v>
      </c>
      <c r="P80" s="192">
        <f>'3.RCI'!U19</f>
        <v>4.6369867746318419E-2</v>
      </c>
      <c r="Q80" s="192">
        <f>'3.RCI'!V19</f>
        <v>9.0589570857825777E-2</v>
      </c>
      <c r="R80" s="656"/>
      <c r="T80" s="619"/>
      <c r="U80" s="619"/>
      <c r="V80" s="81" t="s">
        <v>27</v>
      </c>
      <c r="W80" s="148" t="str">
        <f>'3.RCI'!Z19</f>
        <v>C</v>
      </c>
      <c r="X80" s="153" t="str">
        <f>'3.RCI'!AA19</f>
        <v xml:space="preserve">Protected </v>
      </c>
      <c r="Y80" s="153">
        <f>'3.RCI'!AB19</f>
        <v>0.01</v>
      </c>
      <c r="Z80" s="153">
        <f>'3.RCI'!AC19</f>
        <v>0.5</v>
      </c>
      <c r="AA80" s="153">
        <f>'3.RCI'!AD19</f>
        <v>0.505</v>
      </c>
      <c r="AB80" s="153" t="str">
        <f>'3.RCI'!AE19</f>
        <v>EBT</v>
      </c>
      <c r="AC80" s="153">
        <f>'3.RCI'!AF19</f>
        <v>2</v>
      </c>
      <c r="AD80" s="153">
        <f>'3.RCI'!AG19</f>
        <v>1</v>
      </c>
      <c r="AE80" s="153" t="str">
        <f>'3.RCI'!AH19</f>
        <v>SBT</v>
      </c>
      <c r="AF80" s="153">
        <f>'3.RCI'!AI19</f>
        <v>1</v>
      </c>
      <c r="AG80" s="153">
        <f>'3.RCI'!AJ19</f>
        <v>1</v>
      </c>
      <c r="AH80" s="153">
        <f>'3.RCI'!AK19</f>
        <v>3</v>
      </c>
      <c r="AI80" s="153">
        <f>'3.RCI'!AL19</f>
        <v>45</v>
      </c>
      <c r="AJ80" s="153">
        <f>'3.RCI'!AM19</f>
        <v>0.83333333333333326</v>
      </c>
      <c r="AK80" s="154">
        <f>'3.RCI'!AN19</f>
        <v>1.2625</v>
      </c>
      <c r="AL80" s="635"/>
      <c r="AN80" s="619"/>
      <c r="AO80" s="619"/>
      <c r="AP80" s="125" t="s">
        <v>27</v>
      </c>
      <c r="AQ80" s="159">
        <f>'3.RCI'!AR19</f>
        <v>165546875</v>
      </c>
      <c r="AR80" s="160">
        <f>'3.RCI'!AS19</f>
        <v>9.0589570857825777E-2</v>
      </c>
      <c r="AS80" s="119">
        <f>'3.RCI'!AT19</f>
        <v>1.2625</v>
      </c>
      <c r="AT80" s="119">
        <f>'3.RCI'!AU19</f>
        <v>1</v>
      </c>
      <c r="AU80" s="7">
        <f>'3.RCI'!AV19</f>
        <v>18933485.708418962</v>
      </c>
      <c r="AV80" s="622"/>
      <c r="AW80" s="622"/>
      <c r="AX80" s="625"/>
    </row>
    <row r="81" spans="1:50" ht="20.25" thickTop="1" thickBot="1" x14ac:dyDescent="0.35">
      <c r="A81" s="660">
        <v>4</v>
      </c>
      <c r="B81" s="660" t="s">
        <v>261</v>
      </c>
      <c r="C81" s="181" t="s">
        <v>26</v>
      </c>
      <c r="D81" s="182" t="str">
        <f>'4.Two-Phase MUT'!L6</f>
        <v>(NBR*NBL)*NBT</v>
      </c>
      <c r="E81" s="195">
        <f>'4.Two-Phase MUT'!M6</f>
        <v>68062500</v>
      </c>
      <c r="F81" s="661">
        <f>SUM(E81:E86)</f>
        <v>1662625000</v>
      </c>
      <c r="G81" s="654">
        <f>F81/F5</f>
        <v>2.0024087316522392</v>
      </c>
      <c r="I81" s="651">
        <v>4</v>
      </c>
      <c r="J81" s="651" t="s">
        <v>261</v>
      </c>
      <c r="K81" s="181" t="s">
        <v>26</v>
      </c>
      <c r="L81" s="182">
        <f>'4.Two-Phase MUT'!Q6</f>
        <v>15</v>
      </c>
      <c r="M81" s="182">
        <f>'4.Two-Phase MUT'!R6</f>
        <v>15</v>
      </c>
      <c r="N81" s="182">
        <f>'4.Two-Phase MUT'!S6</f>
        <v>10</v>
      </c>
      <c r="O81" s="182">
        <f>'4.Two-Phase MUT'!T6</f>
        <v>1.3073361412148754</v>
      </c>
      <c r="P81" s="182">
        <f>'4.Two-Phase MUT'!U6</f>
        <v>3.259682051177461E-7</v>
      </c>
      <c r="Q81" s="182">
        <f>'4.Two-Phase MUT'!V6</f>
        <v>6.519363039802215E-7</v>
      </c>
      <c r="R81" s="654">
        <f>'4.Two-Phase MUT'!W6</f>
        <v>3.5755232180880794E-3</v>
      </c>
      <c r="T81" s="617">
        <v>4</v>
      </c>
      <c r="U81" s="617" t="s">
        <v>261</v>
      </c>
      <c r="V81" s="73" t="s">
        <v>26</v>
      </c>
      <c r="W81" s="136" t="str">
        <f>'4.Two-Phase MUT'!Z6</f>
        <v>D</v>
      </c>
      <c r="X81" s="137" t="str">
        <f>'4.Two-Phase MUT'!AA6</f>
        <v>Permitted or yield control</v>
      </c>
      <c r="Y81" s="137">
        <f>'4.Two-Phase MUT'!AB6</f>
        <v>1</v>
      </c>
      <c r="Z81" s="137">
        <f>'4.Two-Phase MUT'!AC6</f>
        <v>0.5</v>
      </c>
      <c r="AA81" s="137">
        <f>'4.Two-Phase MUT'!AD6</f>
        <v>1</v>
      </c>
      <c r="AB81" s="137" t="str">
        <f>'4.Two-Phase MUT'!AE6</f>
        <v>NA</v>
      </c>
      <c r="AC81" s="137">
        <f>'4.Two-Phase MUT'!AF6</f>
        <v>0</v>
      </c>
      <c r="AD81" s="137">
        <f>'4.Two-Phase MUT'!AG6</f>
        <v>0</v>
      </c>
      <c r="AE81" s="137" t="str">
        <f>'4.Two-Phase MUT'!AH6</f>
        <v>NA</v>
      </c>
      <c r="AF81" s="137">
        <f>'4.Two-Phase MUT'!AI6</f>
        <v>0</v>
      </c>
      <c r="AG81" s="137">
        <f>'4.Two-Phase MUT'!AJ6</f>
        <v>0</v>
      </c>
      <c r="AH81" s="137">
        <f>'4.Two-Phase MUT'!AK6</f>
        <v>1</v>
      </c>
      <c r="AI81" s="137" t="str">
        <f>'4.Two-Phase MUT'!AL6</f>
        <v>NA</v>
      </c>
      <c r="AJ81" s="137">
        <f>'4.Two-Phase MUT'!AM6</f>
        <v>1</v>
      </c>
      <c r="AK81" s="138">
        <f>'4.Two-Phase MUT'!AN6</f>
        <v>1</v>
      </c>
      <c r="AL81" s="633">
        <f>'4.Two-Phase MUT'!AO6</f>
        <v>1</v>
      </c>
      <c r="AN81" s="617">
        <v>4</v>
      </c>
      <c r="AO81" s="617" t="s">
        <v>261</v>
      </c>
      <c r="AP81" s="113" t="s">
        <v>26</v>
      </c>
      <c r="AQ81" s="156">
        <f>'4.Two-Phase MUT'!AR6</f>
        <v>68062500</v>
      </c>
      <c r="AR81" s="133">
        <f>'4.Two-Phase MUT'!AS6</f>
        <v>6.519363039802215E-7</v>
      </c>
      <c r="AS81" s="114">
        <f>'4.Two-Phase MUT'!AT6</f>
        <v>1</v>
      </c>
      <c r="AT81" s="114">
        <f>'4.Two-Phase MUT'!AU6</f>
        <v>1</v>
      </c>
      <c r="AU81" s="5">
        <f>'4.Two-Phase MUT'!AV6</f>
        <v>44.372414689653823</v>
      </c>
      <c r="AV81" s="620">
        <f>'4.Two-Phase MUT'!AW6</f>
        <v>8736995.0470949225</v>
      </c>
      <c r="AW81" s="620">
        <f>'4.Two-Phase MUT'!AX6</f>
        <v>52.848710947163404</v>
      </c>
      <c r="AX81" s="623">
        <f>'4.Two-Phase MUT'!AY6</f>
        <v>10.466572974996788</v>
      </c>
    </row>
    <row r="82" spans="1:50" ht="20.25" thickTop="1" thickBot="1" x14ac:dyDescent="0.35">
      <c r="A82" s="660"/>
      <c r="B82" s="660"/>
      <c r="C82" s="185" t="s">
        <v>27</v>
      </c>
      <c r="D82" s="186" t="str">
        <f>'4.Two-Phase MUT'!L7</f>
        <v>(EBL+NBL)*(NBR+EBT+SBL)</v>
      </c>
      <c r="E82" s="187">
        <f>'4.Two-Phase MUT'!M7</f>
        <v>300125000</v>
      </c>
      <c r="F82" s="662"/>
      <c r="G82" s="655"/>
      <c r="I82" s="652"/>
      <c r="J82" s="652"/>
      <c r="K82" s="190" t="s">
        <v>27</v>
      </c>
      <c r="L82" s="186">
        <f>'4.Two-Phase MUT'!Q7</f>
        <v>45</v>
      </c>
      <c r="M82" s="186">
        <f>'4.Two-Phase MUT'!R7</f>
        <v>20</v>
      </c>
      <c r="N82" s="186">
        <f>'4.Two-Phase MUT'!S7</f>
        <v>10</v>
      </c>
      <c r="O82" s="186">
        <f>'4.Two-Phase MUT'!T7</f>
        <v>12.77053292327718</v>
      </c>
      <c r="P82" s="186">
        <f>'4.Two-Phase MUT'!U7</f>
        <v>1.8390760451277139E-3</v>
      </c>
      <c r="Q82" s="186">
        <f>'4.Two-Phase MUT'!V7</f>
        <v>3.6747698895556653E-3</v>
      </c>
      <c r="R82" s="655"/>
      <c r="T82" s="618"/>
      <c r="U82" s="618"/>
      <c r="V82" s="74" t="s">
        <v>27</v>
      </c>
      <c r="W82" s="139" t="str">
        <f>'4.Two-Phase MUT'!Z7</f>
        <v>D</v>
      </c>
      <c r="X82" s="134" t="str">
        <f>'4.Two-Phase MUT'!AA7</f>
        <v>Permitted or yield control</v>
      </c>
      <c r="Y82" s="134">
        <f>'4.Two-Phase MUT'!AB7</f>
        <v>1</v>
      </c>
      <c r="Z82" s="134">
        <f>'4.Two-Phase MUT'!AC7</f>
        <v>0.5</v>
      </c>
      <c r="AA82" s="134">
        <f>'4.Two-Phase MUT'!AD7</f>
        <v>1</v>
      </c>
      <c r="AB82" s="134" t="str">
        <f>'4.Two-Phase MUT'!AE7</f>
        <v>NA</v>
      </c>
      <c r="AC82" s="134">
        <f>'4.Two-Phase MUT'!AF7</f>
        <v>0</v>
      </c>
      <c r="AD82" s="134">
        <f>'4.Two-Phase MUT'!AG7</f>
        <v>0</v>
      </c>
      <c r="AE82" s="134" t="str">
        <f>'4.Two-Phase MUT'!AH7</f>
        <v>NA</v>
      </c>
      <c r="AF82" s="134">
        <f>'4.Two-Phase MUT'!AI7</f>
        <v>0</v>
      </c>
      <c r="AG82" s="134">
        <f>'4.Two-Phase MUT'!AJ7</f>
        <v>0</v>
      </c>
      <c r="AH82" s="134">
        <f>'4.Two-Phase MUT'!AK7</f>
        <v>1</v>
      </c>
      <c r="AI82" s="134" t="str">
        <f>'4.Two-Phase MUT'!AL7</f>
        <v>NA</v>
      </c>
      <c r="AJ82" s="134">
        <f>'4.Two-Phase MUT'!AM7</f>
        <v>1</v>
      </c>
      <c r="AK82" s="140">
        <f>'4.Two-Phase MUT'!AN7</f>
        <v>1</v>
      </c>
      <c r="AL82" s="634"/>
      <c r="AN82" s="618"/>
      <c r="AO82" s="618"/>
      <c r="AP82" s="117" t="s">
        <v>27</v>
      </c>
      <c r="AQ82" s="157">
        <f>'4.Two-Phase MUT'!AR7</f>
        <v>300125000</v>
      </c>
      <c r="AR82" s="158">
        <f>'4.Two-Phase MUT'!AS7</f>
        <v>3.6747698895556653E-3</v>
      </c>
      <c r="AS82" s="116">
        <f>'4.Two-Phase MUT'!AT7</f>
        <v>1</v>
      </c>
      <c r="AT82" s="116">
        <f>'4.Two-Phase MUT'!AU7</f>
        <v>1</v>
      </c>
      <c r="AU82" s="6">
        <f>'4.Two-Phase MUT'!AV7</f>
        <v>1102890.313102894</v>
      </c>
      <c r="AV82" s="621"/>
      <c r="AW82" s="621"/>
      <c r="AX82" s="624"/>
    </row>
    <row r="83" spans="1:50" ht="20.25" thickTop="1" thickBot="1" x14ac:dyDescent="0.35">
      <c r="A83" s="660"/>
      <c r="B83" s="660"/>
      <c r="C83" s="190" t="s">
        <v>22</v>
      </c>
      <c r="D83" s="186" t="str">
        <f>'4.Two-Phase MUT'!L8</f>
        <v>(EBL+WBR)*(NBL+WBT+WBL)</v>
      </c>
      <c r="E83" s="187">
        <f>'4.Two-Phase MUT'!M8</f>
        <v>463125000</v>
      </c>
      <c r="F83" s="662"/>
      <c r="G83" s="655"/>
      <c r="I83" s="652"/>
      <c r="J83" s="652"/>
      <c r="K83" s="190" t="s">
        <v>22</v>
      </c>
      <c r="L83" s="186">
        <f>'4.Two-Phase MUT'!Q8</f>
        <v>45</v>
      </c>
      <c r="M83" s="189">
        <f>'4.Two-Phase MUT'!R8</f>
        <v>15</v>
      </c>
      <c r="N83" s="186">
        <f>'4.Two-Phase MUT'!S8</f>
        <v>10</v>
      </c>
      <c r="O83" s="186">
        <f>'4.Two-Phase MUT'!T8</f>
        <v>15.169950011729762</v>
      </c>
      <c r="P83" s="186">
        <f>'4.Two-Phase MUT'!U8</f>
        <v>3.5318107578168117E-3</v>
      </c>
      <c r="Q83" s="186">
        <f>'4.Two-Phase MUT'!V8</f>
        <v>7.051147828404593E-3</v>
      </c>
      <c r="R83" s="655"/>
      <c r="T83" s="618"/>
      <c r="U83" s="618"/>
      <c r="V83" s="74" t="s">
        <v>22</v>
      </c>
      <c r="W83" s="139" t="str">
        <f>'4.Two-Phase MUT'!Z8</f>
        <v>D</v>
      </c>
      <c r="X83" s="134" t="str">
        <f>'4.Two-Phase MUT'!AA8</f>
        <v>Permitted or yield control</v>
      </c>
      <c r="Y83" s="134">
        <f>'4.Two-Phase MUT'!AB8</f>
        <v>1</v>
      </c>
      <c r="Z83" s="134">
        <f>'4.Two-Phase MUT'!AC8</f>
        <v>0.5</v>
      </c>
      <c r="AA83" s="134">
        <f>'4.Two-Phase MUT'!AD8</f>
        <v>1</v>
      </c>
      <c r="AB83" s="134" t="str">
        <f>'4.Two-Phase MUT'!AE8</f>
        <v>NA</v>
      </c>
      <c r="AC83" s="134">
        <f>'4.Two-Phase MUT'!AF8</f>
        <v>0</v>
      </c>
      <c r="AD83" s="134">
        <f>'4.Two-Phase MUT'!AG8</f>
        <v>0</v>
      </c>
      <c r="AE83" s="134" t="str">
        <f>'4.Two-Phase MUT'!AH8</f>
        <v>NA</v>
      </c>
      <c r="AF83" s="134">
        <f>'4.Two-Phase MUT'!AI8</f>
        <v>0</v>
      </c>
      <c r="AG83" s="134">
        <f>'4.Two-Phase MUT'!AJ8</f>
        <v>0</v>
      </c>
      <c r="AH83" s="134">
        <f>'4.Two-Phase MUT'!AK8</f>
        <v>1</v>
      </c>
      <c r="AI83" s="134" t="str">
        <f>'4.Two-Phase MUT'!AL8</f>
        <v>NA</v>
      </c>
      <c r="AJ83" s="134">
        <f>'4.Two-Phase MUT'!AM8</f>
        <v>1</v>
      </c>
      <c r="AK83" s="140">
        <f>'4.Two-Phase MUT'!AN8</f>
        <v>1</v>
      </c>
      <c r="AL83" s="634"/>
      <c r="AN83" s="618"/>
      <c r="AO83" s="618"/>
      <c r="AP83" s="117" t="s">
        <v>22</v>
      </c>
      <c r="AQ83" s="157">
        <f>'4.Two-Phase MUT'!AR8</f>
        <v>463125000</v>
      </c>
      <c r="AR83" s="158">
        <f>'4.Two-Phase MUT'!AS8</f>
        <v>7.051147828404593E-3</v>
      </c>
      <c r="AS83" s="116">
        <f>'4.Two-Phase MUT'!AT8</f>
        <v>1</v>
      </c>
      <c r="AT83" s="116">
        <f>'4.Two-Phase MUT'!AU8</f>
        <v>1</v>
      </c>
      <c r="AU83" s="6">
        <f>'4.Two-Phase MUT'!AV8</f>
        <v>3265562.8380298773</v>
      </c>
      <c r="AV83" s="621"/>
      <c r="AW83" s="621"/>
      <c r="AX83" s="624"/>
    </row>
    <row r="84" spans="1:50" ht="20.25" thickTop="1" thickBot="1" x14ac:dyDescent="0.35">
      <c r="A84" s="660"/>
      <c r="B84" s="660"/>
      <c r="C84" s="190" t="s">
        <v>20</v>
      </c>
      <c r="D84" s="186" t="str">
        <f>'4.Two-Phase MUT'!L9</f>
        <v>(SBR+SBL)*SBT</v>
      </c>
      <c r="E84" s="187">
        <f>'4.Two-Phase MUT'!M9</f>
        <v>68062500</v>
      </c>
      <c r="F84" s="662"/>
      <c r="G84" s="655"/>
      <c r="I84" s="652"/>
      <c r="J84" s="652"/>
      <c r="K84" s="190" t="s">
        <v>20</v>
      </c>
      <c r="L84" s="186">
        <f>'4.Two-Phase MUT'!Q9</f>
        <v>15</v>
      </c>
      <c r="M84" s="186">
        <f>'4.Two-Phase MUT'!R9</f>
        <v>15</v>
      </c>
      <c r="N84" s="186">
        <f>'4.Two-Phase MUT'!S9</f>
        <v>10</v>
      </c>
      <c r="O84" s="186">
        <f>'4.Two-Phase MUT'!T9</f>
        <v>1.3073361412148754</v>
      </c>
      <c r="P84" s="186">
        <f>'4.Two-Phase MUT'!U9</f>
        <v>3.259682051177461E-7</v>
      </c>
      <c r="Q84" s="186">
        <f>'4.Two-Phase MUT'!V9</f>
        <v>6.519363039802215E-7</v>
      </c>
      <c r="R84" s="655"/>
      <c r="T84" s="618"/>
      <c r="U84" s="618"/>
      <c r="V84" s="74" t="s">
        <v>20</v>
      </c>
      <c r="W84" s="139" t="str">
        <f>'4.Two-Phase MUT'!Z9</f>
        <v>D</v>
      </c>
      <c r="X84" s="134" t="str">
        <f>'4.Two-Phase MUT'!AA9</f>
        <v>Permitted or yield control</v>
      </c>
      <c r="Y84" s="134">
        <f>'4.Two-Phase MUT'!AB9</f>
        <v>1</v>
      </c>
      <c r="Z84" s="134">
        <f>'4.Two-Phase MUT'!AC9</f>
        <v>0.5</v>
      </c>
      <c r="AA84" s="134">
        <f>'4.Two-Phase MUT'!AD9</f>
        <v>1</v>
      </c>
      <c r="AB84" s="134" t="str">
        <f>'4.Two-Phase MUT'!AE9</f>
        <v>NA</v>
      </c>
      <c r="AC84" s="134">
        <f>'4.Two-Phase MUT'!AF9</f>
        <v>0</v>
      </c>
      <c r="AD84" s="134">
        <f>'4.Two-Phase MUT'!AG9</f>
        <v>0</v>
      </c>
      <c r="AE84" s="134" t="str">
        <f>'4.Two-Phase MUT'!AH9</f>
        <v>NA</v>
      </c>
      <c r="AF84" s="134">
        <f>'4.Two-Phase MUT'!AI9</f>
        <v>0</v>
      </c>
      <c r="AG84" s="134">
        <f>'4.Two-Phase MUT'!AJ9</f>
        <v>0</v>
      </c>
      <c r="AH84" s="134">
        <f>'4.Two-Phase MUT'!AK9</f>
        <v>1</v>
      </c>
      <c r="AI84" s="134" t="str">
        <f>'4.Two-Phase MUT'!AL9</f>
        <v>NA</v>
      </c>
      <c r="AJ84" s="134">
        <f>'4.Two-Phase MUT'!AM9</f>
        <v>1</v>
      </c>
      <c r="AK84" s="140">
        <f>'4.Two-Phase MUT'!AN9</f>
        <v>1</v>
      </c>
      <c r="AL84" s="634"/>
      <c r="AN84" s="618"/>
      <c r="AO84" s="618"/>
      <c r="AP84" s="117" t="s">
        <v>20</v>
      </c>
      <c r="AQ84" s="157">
        <f>'4.Two-Phase MUT'!AR9</f>
        <v>68062500</v>
      </c>
      <c r="AR84" s="158">
        <f>'4.Two-Phase MUT'!AS9</f>
        <v>6.519363039802215E-7</v>
      </c>
      <c r="AS84" s="116">
        <f>'4.Two-Phase MUT'!AT9</f>
        <v>1</v>
      </c>
      <c r="AT84" s="116">
        <f>'4.Two-Phase MUT'!AU9</f>
        <v>1</v>
      </c>
      <c r="AU84" s="6">
        <f>'4.Two-Phase MUT'!AV9</f>
        <v>44.372414689653823</v>
      </c>
      <c r="AV84" s="621"/>
      <c r="AW84" s="621"/>
      <c r="AX84" s="624"/>
    </row>
    <row r="85" spans="1:50" ht="20.25" thickTop="1" thickBot="1" x14ac:dyDescent="0.35">
      <c r="A85" s="660"/>
      <c r="B85" s="660"/>
      <c r="C85" s="190" t="s">
        <v>28</v>
      </c>
      <c r="D85" s="186" t="str">
        <f>'4.Two-Phase MUT'!L10</f>
        <v>(WBL+SBL)*(SBR+WBT+NBL)</v>
      </c>
      <c r="E85" s="187">
        <f>'4.Two-Phase MUT'!M10</f>
        <v>300125000</v>
      </c>
      <c r="F85" s="662"/>
      <c r="G85" s="655"/>
      <c r="I85" s="652"/>
      <c r="J85" s="652"/>
      <c r="K85" s="190" t="s">
        <v>28</v>
      </c>
      <c r="L85" s="186">
        <f>'4.Two-Phase MUT'!Q10</f>
        <v>45</v>
      </c>
      <c r="M85" s="186">
        <f>'4.Two-Phase MUT'!R10</f>
        <v>20</v>
      </c>
      <c r="N85" s="186">
        <f>'4.Two-Phase MUT'!S10</f>
        <v>10</v>
      </c>
      <c r="O85" s="186">
        <f>'4.Two-Phase MUT'!T10</f>
        <v>12.77053292327718</v>
      </c>
      <c r="P85" s="186">
        <f>'4.Two-Phase MUT'!U10</f>
        <v>1.8390760451277139E-3</v>
      </c>
      <c r="Q85" s="186">
        <f>'4.Two-Phase MUT'!V10</f>
        <v>3.6747698895556653E-3</v>
      </c>
      <c r="R85" s="655"/>
      <c r="T85" s="618"/>
      <c r="U85" s="618"/>
      <c r="V85" s="74" t="s">
        <v>28</v>
      </c>
      <c r="W85" s="139" t="str">
        <f>'4.Two-Phase MUT'!Z10</f>
        <v>D</v>
      </c>
      <c r="X85" s="134" t="str">
        <f>'4.Two-Phase MUT'!AA10</f>
        <v>Permitted or yield control</v>
      </c>
      <c r="Y85" s="134">
        <f>'4.Two-Phase MUT'!AB10</f>
        <v>1</v>
      </c>
      <c r="Z85" s="134">
        <f>'4.Two-Phase MUT'!AC10</f>
        <v>0.5</v>
      </c>
      <c r="AA85" s="134">
        <f>'4.Two-Phase MUT'!AD10</f>
        <v>1</v>
      </c>
      <c r="AB85" s="134" t="str">
        <f>'4.Two-Phase MUT'!AE10</f>
        <v>NA</v>
      </c>
      <c r="AC85" s="134">
        <f>'4.Two-Phase MUT'!AF10</f>
        <v>0</v>
      </c>
      <c r="AD85" s="134">
        <f>'4.Two-Phase MUT'!AG10</f>
        <v>0</v>
      </c>
      <c r="AE85" s="134" t="str">
        <f>'4.Two-Phase MUT'!AH10</f>
        <v>NA</v>
      </c>
      <c r="AF85" s="134">
        <f>'4.Two-Phase MUT'!AI10</f>
        <v>0</v>
      </c>
      <c r="AG85" s="134">
        <f>'4.Two-Phase MUT'!AJ10</f>
        <v>0</v>
      </c>
      <c r="AH85" s="134">
        <f>'4.Two-Phase MUT'!AK10</f>
        <v>1</v>
      </c>
      <c r="AI85" s="134" t="str">
        <f>'4.Two-Phase MUT'!AL10</f>
        <v>NA</v>
      </c>
      <c r="AJ85" s="134">
        <f>'4.Two-Phase MUT'!AM10</f>
        <v>1</v>
      </c>
      <c r="AK85" s="140">
        <f>'4.Two-Phase MUT'!AN10</f>
        <v>1</v>
      </c>
      <c r="AL85" s="634"/>
      <c r="AN85" s="618"/>
      <c r="AO85" s="618"/>
      <c r="AP85" s="117" t="s">
        <v>28</v>
      </c>
      <c r="AQ85" s="157">
        <f>'4.Two-Phase MUT'!AR10</f>
        <v>300125000</v>
      </c>
      <c r="AR85" s="158">
        <f>'4.Two-Phase MUT'!AS10</f>
        <v>3.6747698895556653E-3</v>
      </c>
      <c r="AS85" s="116">
        <f>'4.Two-Phase MUT'!AT10</f>
        <v>1</v>
      </c>
      <c r="AT85" s="116">
        <f>'4.Two-Phase MUT'!AU10</f>
        <v>1</v>
      </c>
      <c r="AU85" s="6">
        <f>'4.Two-Phase MUT'!AV10</f>
        <v>1102890.313102894</v>
      </c>
      <c r="AV85" s="621"/>
      <c r="AW85" s="621"/>
      <c r="AX85" s="624"/>
    </row>
    <row r="86" spans="1:50" ht="20.25" thickTop="1" thickBot="1" x14ac:dyDescent="0.35">
      <c r="A86" s="660"/>
      <c r="B86" s="660"/>
      <c r="C86" s="190" t="s">
        <v>21</v>
      </c>
      <c r="D86" s="186" t="str">
        <f>'4.Two-Phase MUT'!L11</f>
        <v>(EBR+WBL)*(SBL+EBT+EBL)</v>
      </c>
      <c r="E86" s="187">
        <f>'4.Two-Phase MUT'!M11</f>
        <v>463125000</v>
      </c>
      <c r="F86" s="662"/>
      <c r="G86" s="655"/>
      <c r="I86" s="652"/>
      <c r="J86" s="652"/>
      <c r="K86" s="209" t="s">
        <v>21</v>
      </c>
      <c r="L86" s="186">
        <f>'4.Two-Phase MUT'!Q11</f>
        <v>45</v>
      </c>
      <c r="M86" s="186">
        <f>'4.Two-Phase MUT'!R11</f>
        <v>15</v>
      </c>
      <c r="N86" s="186">
        <f>'4.Two-Phase MUT'!S11</f>
        <v>10</v>
      </c>
      <c r="O86" s="186">
        <f>'4.Two-Phase MUT'!T11</f>
        <v>15.169950011729762</v>
      </c>
      <c r="P86" s="186">
        <f>'4.Two-Phase MUT'!U11</f>
        <v>3.5318107578168117E-3</v>
      </c>
      <c r="Q86" s="186">
        <f>'4.Two-Phase MUT'!V11</f>
        <v>7.051147828404593E-3</v>
      </c>
      <c r="R86" s="655"/>
      <c r="T86" s="618"/>
      <c r="U86" s="618"/>
      <c r="V86" s="84" t="s">
        <v>21</v>
      </c>
      <c r="W86" s="139" t="str">
        <f>'4.Two-Phase MUT'!Z11</f>
        <v>D</v>
      </c>
      <c r="X86" s="142" t="str">
        <f>'4.Two-Phase MUT'!AA11</f>
        <v>Permitted or yield control</v>
      </c>
      <c r="Y86" s="142">
        <f>'4.Two-Phase MUT'!AB11</f>
        <v>1</v>
      </c>
      <c r="Z86" s="142">
        <f>'4.Two-Phase MUT'!AC11</f>
        <v>0.5</v>
      </c>
      <c r="AA86" s="142">
        <f>'4.Two-Phase MUT'!AD11</f>
        <v>1</v>
      </c>
      <c r="AB86" s="142" t="str">
        <f>'4.Two-Phase MUT'!AE11</f>
        <v>NA</v>
      </c>
      <c r="AC86" s="142">
        <f>'4.Two-Phase MUT'!AF11</f>
        <v>0</v>
      </c>
      <c r="AD86" s="142">
        <f>'4.Two-Phase MUT'!AG11</f>
        <v>0</v>
      </c>
      <c r="AE86" s="142" t="str">
        <f>'4.Two-Phase MUT'!AH11</f>
        <v>NA</v>
      </c>
      <c r="AF86" s="142">
        <f>'4.Two-Phase MUT'!AI11</f>
        <v>0</v>
      </c>
      <c r="AG86" s="142">
        <f>'4.Two-Phase MUT'!AJ11</f>
        <v>0</v>
      </c>
      <c r="AH86" s="142">
        <f>'4.Two-Phase MUT'!AK11</f>
        <v>1</v>
      </c>
      <c r="AI86" s="142" t="str">
        <f>'4.Two-Phase MUT'!AL11</f>
        <v>NA</v>
      </c>
      <c r="AJ86" s="142">
        <f>'4.Two-Phase MUT'!AM11</f>
        <v>1</v>
      </c>
      <c r="AK86" s="143">
        <f>'4.Two-Phase MUT'!AN11</f>
        <v>1</v>
      </c>
      <c r="AL86" s="635"/>
      <c r="AN86" s="618"/>
      <c r="AO86" s="618"/>
      <c r="AP86" s="128" t="s">
        <v>21</v>
      </c>
      <c r="AQ86" s="159">
        <f>'4.Two-Phase MUT'!AR11</f>
        <v>463125000</v>
      </c>
      <c r="AR86" s="160">
        <f>'4.Two-Phase MUT'!AS11</f>
        <v>7.051147828404593E-3</v>
      </c>
      <c r="AS86" s="161">
        <f>'4.Two-Phase MUT'!AT11</f>
        <v>1</v>
      </c>
      <c r="AT86" s="161">
        <f>'4.Two-Phase MUT'!AU11</f>
        <v>1</v>
      </c>
      <c r="AU86" s="6">
        <f>'4.Two-Phase MUT'!AV11</f>
        <v>3265562.8380298773</v>
      </c>
      <c r="AV86" s="621"/>
      <c r="AW86" s="621"/>
      <c r="AX86" s="624"/>
    </row>
    <row r="87" spans="1:50" ht="20.25" thickTop="1" thickBot="1" x14ac:dyDescent="0.35">
      <c r="A87" s="660"/>
      <c r="B87" s="660"/>
      <c r="C87" s="196" t="s">
        <v>26</v>
      </c>
      <c r="D87" s="182" t="str">
        <f>'4.Two-Phase MUT'!L12</f>
        <v>(NBR+NBL)*(EBT+EBL+SBL)</v>
      </c>
      <c r="E87" s="195">
        <f>'4.Two-Phase MUT'!M12</f>
        <v>235125000</v>
      </c>
      <c r="F87" s="661">
        <f>SUM(E87:E92)</f>
        <v>1534625000</v>
      </c>
      <c r="G87" s="654">
        <f>F87/F13</f>
        <v>2.1851027854409542</v>
      </c>
      <c r="I87" s="652"/>
      <c r="J87" s="652"/>
      <c r="K87" s="196" t="s">
        <v>26</v>
      </c>
      <c r="L87" s="182">
        <f>'4.Two-Phase MUT'!Q12</f>
        <v>45</v>
      </c>
      <c r="M87" s="182">
        <f>'4.Two-Phase MUT'!R12</f>
        <v>15</v>
      </c>
      <c r="N87" s="182">
        <f>'4.Two-Phase MUT'!S12</f>
        <v>45</v>
      </c>
      <c r="O87" s="182">
        <f>'4.Two-Phase MUT'!T12</f>
        <v>17.995873453365363</v>
      </c>
      <c r="P87" s="182">
        <f>'4.Two-Phase MUT'!U12</f>
        <v>6.7479662925189346E-3</v>
      </c>
      <c r="Q87" s="182">
        <f>'4.Two-Phase MUT'!V12</f>
        <v>1.3450397535952898E-2</v>
      </c>
      <c r="R87" s="654">
        <f>'4.Two-Phase MUT'!W12</f>
        <v>9.2841651828535748E-3</v>
      </c>
      <c r="T87" s="618"/>
      <c r="U87" s="618"/>
      <c r="V87" s="82" t="s">
        <v>26</v>
      </c>
      <c r="W87" s="147" t="str">
        <f>'4.Two-Phase MUT'!Z12</f>
        <v>M</v>
      </c>
      <c r="X87" s="137" t="str">
        <f>'4.Two-Phase MUT'!AA12</f>
        <v>Protected</v>
      </c>
      <c r="Y87" s="137">
        <f>'4.Two-Phase MUT'!AB12</f>
        <v>0.01</v>
      </c>
      <c r="Z87" s="137">
        <f>'4.Two-Phase MUT'!AC12</f>
        <v>0.5</v>
      </c>
      <c r="AA87" s="137">
        <f>'4.Two-Phase MUT'!AD12</f>
        <v>0.505</v>
      </c>
      <c r="AB87" s="137">
        <f>'4.Two-Phase MUT'!AE12</f>
        <v>0</v>
      </c>
      <c r="AC87" s="137">
        <f>'4.Two-Phase MUT'!AF12</f>
        <v>0</v>
      </c>
      <c r="AD87" s="137">
        <f>'4.Two-Phase MUT'!AG12</f>
        <v>1</v>
      </c>
      <c r="AE87" s="137" t="str">
        <f>'4.Two-Phase MUT'!AH12</f>
        <v>EBT</v>
      </c>
      <c r="AF87" s="137">
        <f>'4.Two-Phase MUT'!AI12</f>
        <v>2</v>
      </c>
      <c r="AG87" s="137">
        <f>'4.Two-Phase MUT'!AJ12</f>
        <v>1.75</v>
      </c>
      <c r="AH87" s="137">
        <f>'4.Two-Phase MUT'!AK12</f>
        <v>1.75</v>
      </c>
      <c r="AI87" s="137">
        <f>'4.Two-Phase MUT'!AL12</f>
        <v>45</v>
      </c>
      <c r="AJ87" s="137">
        <f>'4.Two-Phase MUT'!AM12</f>
        <v>0.83333333333333326</v>
      </c>
      <c r="AK87" s="138">
        <f>'4.Two-Phase MUT'!AN12</f>
        <v>0.73645833333333333</v>
      </c>
      <c r="AL87" s="633">
        <f>'4.Two-Phase MUT'!AO12</f>
        <v>1.0520833333333333</v>
      </c>
      <c r="AN87" s="618"/>
      <c r="AO87" s="618"/>
      <c r="AP87" s="126" t="s">
        <v>26</v>
      </c>
      <c r="AQ87" s="156">
        <f>'4.Two-Phase MUT'!AR12</f>
        <v>235125000</v>
      </c>
      <c r="AR87" s="133">
        <f>'4.Two-Phase MUT'!AS12</f>
        <v>1.3450397535952898E-2</v>
      </c>
      <c r="AS87" s="114">
        <f>'4.Two-Phase MUT'!AT12</f>
        <v>0.73645833333333333</v>
      </c>
      <c r="AT87" s="114">
        <f>'4.Two-Phase MUT'!AU12</f>
        <v>1</v>
      </c>
      <c r="AU87" s="5">
        <f>'4.Two-Phase MUT'!AV12</f>
        <v>2329067.6848886814</v>
      </c>
      <c r="AV87" s="620">
        <f>'4.Two-Phase MUT'!AW12</f>
        <v>12975059.098316507</v>
      </c>
      <c r="AW87" s="620">
        <f>'4.Two-Phase MUT'!AX12</f>
        <v>38.787017117910516</v>
      </c>
      <c r="AX87" s="624"/>
    </row>
    <row r="88" spans="1:50" ht="20.25" thickTop="1" thickBot="1" x14ac:dyDescent="0.35">
      <c r="A88" s="660"/>
      <c r="B88" s="660"/>
      <c r="C88" s="197" t="s">
        <v>27</v>
      </c>
      <c r="D88" s="186" t="str">
        <f>'4.Two-Phase MUT'!L13</f>
        <v>(NBL+EBL)*(WBR+WBT+WBL)</v>
      </c>
      <c r="E88" s="187">
        <f>'4.Two-Phase MUT'!M13</f>
        <v>398125000</v>
      </c>
      <c r="F88" s="662"/>
      <c r="G88" s="655"/>
      <c r="I88" s="652"/>
      <c r="J88" s="652"/>
      <c r="K88" s="194" t="s">
        <v>27</v>
      </c>
      <c r="L88" s="186">
        <f>'4.Two-Phase MUT'!Q13</f>
        <v>45</v>
      </c>
      <c r="M88" s="186">
        <f>'4.Two-Phase MUT'!R13</f>
        <v>15</v>
      </c>
      <c r="N88" s="186">
        <f>'4.Two-Phase MUT'!S13</f>
        <v>45</v>
      </c>
      <c r="O88" s="186">
        <f>'4.Two-Phase MUT'!T13</f>
        <v>17.995873453365363</v>
      </c>
      <c r="P88" s="186">
        <f>'4.Two-Phase MUT'!U13</f>
        <v>6.7479662925189346E-3</v>
      </c>
      <c r="Q88" s="186">
        <f>'4.Two-Phase MUT'!V13</f>
        <v>1.3450397535952898E-2</v>
      </c>
      <c r="R88" s="655"/>
      <c r="T88" s="618"/>
      <c r="U88" s="618"/>
      <c r="V88" s="76" t="s">
        <v>27</v>
      </c>
      <c r="W88" s="148" t="str">
        <f>'4.Two-Phase MUT'!Z13</f>
        <v>M</v>
      </c>
      <c r="X88" s="134" t="str">
        <f>'4.Two-Phase MUT'!AA13</f>
        <v>Protected</v>
      </c>
      <c r="Y88" s="134">
        <f>'4.Two-Phase MUT'!AB13</f>
        <v>0.01</v>
      </c>
      <c r="Z88" s="134">
        <f>'4.Two-Phase MUT'!AC13</f>
        <v>0.5</v>
      </c>
      <c r="AA88" s="134">
        <f>'4.Two-Phase MUT'!AD13</f>
        <v>0.505</v>
      </c>
      <c r="AB88" s="134">
        <f>'4.Two-Phase MUT'!AE13</f>
        <v>0</v>
      </c>
      <c r="AC88" s="134">
        <f>'4.Two-Phase MUT'!AF13</f>
        <v>0</v>
      </c>
      <c r="AD88" s="134">
        <f>'4.Two-Phase MUT'!AG13</f>
        <v>1</v>
      </c>
      <c r="AE88" s="134" t="str">
        <f>'4.Two-Phase MUT'!AH13</f>
        <v>WBT</v>
      </c>
      <c r="AF88" s="134">
        <f>'4.Two-Phase MUT'!AI13</f>
        <v>2</v>
      </c>
      <c r="AG88" s="134">
        <f>'4.Two-Phase MUT'!AJ13</f>
        <v>1.75</v>
      </c>
      <c r="AH88" s="134">
        <f>'4.Two-Phase MUT'!AK13</f>
        <v>1.75</v>
      </c>
      <c r="AI88" s="134">
        <f>'4.Two-Phase MUT'!AL13</f>
        <v>45</v>
      </c>
      <c r="AJ88" s="134">
        <f>'4.Two-Phase MUT'!AM13</f>
        <v>0.83333333333333326</v>
      </c>
      <c r="AK88" s="140">
        <f>'4.Two-Phase MUT'!AN13</f>
        <v>0.73645833333333333</v>
      </c>
      <c r="AL88" s="634"/>
      <c r="AN88" s="618"/>
      <c r="AO88" s="618"/>
      <c r="AP88" s="120" t="s">
        <v>27</v>
      </c>
      <c r="AQ88" s="157">
        <f>'4.Two-Phase MUT'!AR13</f>
        <v>398125000</v>
      </c>
      <c r="AR88" s="158">
        <f>'4.Two-Phase MUT'!AS13</f>
        <v>1.3450397535952898E-2</v>
      </c>
      <c r="AS88" s="116">
        <f>'4.Two-Phase MUT'!AT13</f>
        <v>0.73645833333333333</v>
      </c>
      <c r="AT88" s="116">
        <f>'4.Two-Phase MUT'!AU13</f>
        <v>1</v>
      </c>
      <c r="AU88" s="6">
        <f>'4.Two-Phase MUT'!AV13</f>
        <v>3943689.8332644603</v>
      </c>
      <c r="AV88" s="621"/>
      <c r="AW88" s="621"/>
      <c r="AX88" s="624"/>
    </row>
    <row r="89" spans="1:50" ht="20.25" thickTop="1" thickBot="1" x14ac:dyDescent="0.35">
      <c r="A89" s="660"/>
      <c r="B89" s="660"/>
      <c r="C89" s="197" t="s">
        <v>22</v>
      </c>
      <c r="D89" s="186" t="str">
        <f>'4.Two-Phase MUT'!L14</f>
        <v>NBT*(EBL+WBR)</v>
      </c>
      <c r="E89" s="187">
        <f>'4.Two-Phase MUT'!M14</f>
        <v>134062500</v>
      </c>
      <c r="F89" s="662"/>
      <c r="G89" s="655"/>
      <c r="I89" s="652"/>
      <c r="J89" s="652"/>
      <c r="K89" s="197" t="s">
        <v>22</v>
      </c>
      <c r="L89" s="186">
        <f>'4.Two-Phase MUT'!Q14</f>
        <v>25</v>
      </c>
      <c r="M89" s="186">
        <f>'4.Two-Phase MUT'!R14</f>
        <v>15</v>
      </c>
      <c r="N89" s="186">
        <f>'4.Two-Phase MUT'!S14</f>
        <v>45</v>
      </c>
      <c r="O89" s="186">
        <f>'4.Two-Phase MUT'!T14</f>
        <v>8.9396576292116645</v>
      </c>
      <c r="P89" s="186">
        <f>'4.Two-Phase MUT'!U14</f>
        <v>4.7596350895839364E-4</v>
      </c>
      <c r="Q89" s="186">
        <f>'4.Two-Phase MUT'!V14</f>
        <v>9.5170047665492732E-4</v>
      </c>
      <c r="R89" s="655"/>
      <c r="T89" s="618"/>
      <c r="U89" s="618"/>
      <c r="V89" s="77" t="s">
        <v>22</v>
      </c>
      <c r="W89" s="148" t="str">
        <f>'4.Two-Phase MUT'!Z14</f>
        <v>M</v>
      </c>
      <c r="X89" s="134" t="str">
        <f>'4.Two-Phase MUT'!AA14</f>
        <v>Protected</v>
      </c>
      <c r="Y89" s="134">
        <f>'4.Two-Phase MUT'!AB14</f>
        <v>0.01</v>
      </c>
      <c r="Z89" s="134">
        <f>'4.Two-Phase MUT'!AC14</f>
        <v>0.5</v>
      </c>
      <c r="AA89" s="134">
        <f>'4.Two-Phase MUT'!AD14</f>
        <v>0.505</v>
      </c>
      <c r="AB89" s="134" t="str">
        <f>'4.Two-Phase MUT'!AE14</f>
        <v>EBT+WBT</v>
      </c>
      <c r="AC89" s="134">
        <f>'4.Two-Phase MUT'!AF14</f>
        <v>4</v>
      </c>
      <c r="AD89" s="134">
        <f>'4.Two-Phase MUT'!AG14</f>
        <v>0</v>
      </c>
      <c r="AE89" s="134" t="str">
        <f>'4.Two-Phase MUT'!AH14</f>
        <v>NBT</v>
      </c>
      <c r="AF89" s="134">
        <f>'4.Two-Phase MUT'!AI14</f>
        <v>1</v>
      </c>
      <c r="AG89" s="134">
        <f>'4.Two-Phase MUT'!AJ14</f>
        <v>0</v>
      </c>
      <c r="AH89" s="134">
        <f>'4.Two-Phase MUT'!AK14</f>
        <v>4</v>
      </c>
      <c r="AI89" s="134">
        <f>'4.Two-Phase MUT'!AL14</f>
        <v>45</v>
      </c>
      <c r="AJ89" s="134">
        <f>'4.Two-Phase MUT'!AM14</f>
        <v>0.83333333333333326</v>
      </c>
      <c r="AK89" s="140">
        <f>'4.Two-Phase MUT'!AN14</f>
        <v>1.6833333333333331</v>
      </c>
      <c r="AL89" s="634"/>
      <c r="AN89" s="618"/>
      <c r="AO89" s="618"/>
      <c r="AP89" s="121" t="s">
        <v>22</v>
      </c>
      <c r="AQ89" s="157">
        <f>'4.Two-Phase MUT'!AR14</f>
        <v>134062500</v>
      </c>
      <c r="AR89" s="158">
        <f>'4.Two-Phase MUT'!AS14</f>
        <v>9.5170047665492732E-4</v>
      </c>
      <c r="AS89" s="116">
        <f>'4.Two-Phase MUT'!AT14</f>
        <v>1.6833333333333331</v>
      </c>
      <c r="AT89" s="116">
        <f>'4.Two-Phase MUT'!AU14</f>
        <v>1</v>
      </c>
      <c r="AU89" s="6">
        <f>'4.Two-Phase MUT'!AV14</f>
        <v>214772.03100511114</v>
      </c>
      <c r="AV89" s="621"/>
      <c r="AW89" s="621"/>
      <c r="AX89" s="624"/>
    </row>
    <row r="90" spans="1:50" ht="20.25" thickTop="1" thickBot="1" x14ac:dyDescent="0.35">
      <c r="A90" s="660"/>
      <c r="B90" s="660"/>
      <c r="C90" s="197" t="s">
        <v>20</v>
      </c>
      <c r="D90" s="186" t="str">
        <f>'4.Two-Phase MUT'!L15</f>
        <v>(SBR+SBL)*(WBT+WBL+NBL)</v>
      </c>
      <c r="E90" s="187">
        <f>'4.Two-Phase MUT'!M15</f>
        <v>235125000</v>
      </c>
      <c r="F90" s="662"/>
      <c r="G90" s="655"/>
      <c r="I90" s="652"/>
      <c r="J90" s="652"/>
      <c r="K90" s="197" t="s">
        <v>20</v>
      </c>
      <c r="L90" s="186">
        <f>'4.Two-Phase MUT'!Q15</f>
        <v>45</v>
      </c>
      <c r="M90" s="186">
        <f>'4.Two-Phase MUT'!R15</f>
        <v>15</v>
      </c>
      <c r="N90" s="186">
        <f>'4.Two-Phase MUT'!S15</f>
        <v>45</v>
      </c>
      <c r="O90" s="186">
        <f>'4.Two-Phase MUT'!T15</f>
        <v>17.995873453365363</v>
      </c>
      <c r="P90" s="186">
        <f>'4.Two-Phase MUT'!U15</f>
        <v>6.7479662925189346E-3</v>
      </c>
      <c r="Q90" s="186">
        <f>'4.Two-Phase MUT'!V15</f>
        <v>1.3450397535952898E-2</v>
      </c>
      <c r="R90" s="655"/>
      <c r="T90" s="618"/>
      <c r="U90" s="618"/>
      <c r="V90" s="77" t="s">
        <v>20</v>
      </c>
      <c r="W90" s="148" t="str">
        <f>'4.Two-Phase MUT'!Z15</f>
        <v>M</v>
      </c>
      <c r="X90" s="134" t="str">
        <f>'4.Two-Phase MUT'!AA15</f>
        <v>Protected</v>
      </c>
      <c r="Y90" s="134">
        <f>'4.Two-Phase MUT'!AB15</f>
        <v>0.01</v>
      </c>
      <c r="Z90" s="134">
        <f>'4.Two-Phase MUT'!AC15</f>
        <v>0.5</v>
      </c>
      <c r="AA90" s="134">
        <f>'4.Two-Phase MUT'!AD15</f>
        <v>0.505</v>
      </c>
      <c r="AB90" s="134">
        <f>'4.Two-Phase MUT'!AE15</f>
        <v>0</v>
      </c>
      <c r="AC90" s="134">
        <f>'4.Two-Phase MUT'!AF15</f>
        <v>0</v>
      </c>
      <c r="AD90" s="134">
        <f>'4.Two-Phase MUT'!AG15</f>
        <v>1</v>
      </c>
      <c r="AE90" s="134" t="str">
        <f>'4.Two-Phase MUT'!AH15</f>
        <v>WBT</v>
      </c>
      <c r="AF90" s="134">
        <f>'4.Two-Phase MUT'!AI15</f>
        <v>2</v>
      </c>
      <c r="AG90" s="134">
        <f>'4.Two-Phase MUT'!AJ15</f>
        <v>1.75</v>
      </c>
      <c r="AH90" s="134">
        <f>'4.Two-Phase MUT'!AK15</f>
        <v>1.75</v>
      </c>
      <c r="AI90" s="134">
        <f>'4.Two-Phase MUT'!AL15</f>
        <v>45</v>
      </c>
      <c r="AJ90" s="134">
        <f>'4.Two-Phase MUT'!AM15</f>
        <v>0.83333333333333326</v>
      </c>
      <c r="AK90" s="140">
        <f>'4.Two-Phase MUT'!AN15</f>
        <v>0.73645833333333333</v>
      </c>
      <c r="AL90" s="634"/>
      <c r="AN90" s="618"/>
      <c r="AO90" s="618"/>
      <c r="AP90" s="121" t="s">
        <v>20</v>
      </c>
      <c r="AQ90" s="157">
        <f>'4.Two-Phase MUT'!AR15</f>
        <v>235125000</v>
      </c>
      <c r="AR90" s="158">
        <f>'4.Two-Phase MUT'!AS15</f>
        <v>1.3450397535952898E-2</v>
      </c>
      <c r="AS90" s="116">
        <f>'4.Two-Phase MUT'!AT15</f>
        <v>0.73645833333333333</v>
      </c>
      <c r="AT90" s="116">
        <f>'4.Two-Phase MUT'!AU15</f>
        <v>1</v>
      </c>
      <c r="AU90" s="6">
        <f>'4.Two-Phase MUT'!AV15</f>
        <v>2329067.6848886814</v>
      </c>
      <c r="AV90" s="621"/>
      <c r="AW90" s="621"/>
      <c r="AX90" s="624"/>
    </row>
    <row r="91" spans="1:50" ht="20.25" thickTop="1" thickBot="1" x14ac:dyDescent="0.35">
      <c r="A91" s="660"/>
      <c r="B91" s="660"/>
      <c r="C91" s="197" t="s">
        <v>28</v>
      </c>
      <c r="D91" s="186" t="str">
        <f>'4.Two-Phase MUT'!L16</f>
        <v>(SBL+WBL)*(EBR+EBT+EBL)</v>
      </c>
      <c r="E91" s="187">
        <f>'4.Two-Phase MUT'!M16</f>
        <v>398125000</v>
      </c>
      <c r="F91" s="662"/>
      <c r="G91" s="655"/>
      <c r="I91" s="652"/>
      <c r="J91" s="652"/>
      <c r="K91" s="197" t="s">
        <v>28</v>
      </c>
      <c r="L91" s="186">
        <f>'4.Two-Phase MUT'!Q16</f>
        <v>45</v>
      </c>
      <c r="M91" s="186">
        <f>'4.Two-Phase MUT'!R16</f>
        <v>15</v>
      </c>
      <c r="N91" s="186">
        <f>'4.Two-Phase MUT'!S16</f>
        <v>45</v>
      </c>
      <c r="O91" s="186">
        <f>'4.Two-Phase MUT'!T16</f>
        <v>17.995873453365363</v>
      </c>
      <c r="P91" s="186">
        <f>'4.Two-Phase MUT'!U16</f>
        <v>6.7479662925189346E-3</v>
      </c>
      <c r="Q91" s="186">
        <f>'4.Two-Phase MUT'!V16</f>
        <v>1.3450397535952898E-2</v>
      </c>
      <c r="R91" s="655"/>
      <c r="T91" s="618"/>
      <c r="U91" s="618"/>
      <c r="V91" s="77" t="s">
        <v>28</v>
      </c>
      <c r="W91" s="148" t="str">
        <f>'4.Two-Phase MUT'!Z16</f>
        <v>M</v>
      </c>
      <c r="X91" s="134" t="str">
        <f>'4.Two-Phase MUT'!AA16</f>
        <v>Protected</v>
      </c>
      <c r="Y91" s="134">
        <f>'4.Two-Phase MUT'!AB16</f>
        <v>0.01</v>
      </c>
      <c r="Z91" s="134">
        <f>'4.Two-Phase MUT'!AC16</f>
        <v>0.5</v>
      </c>
      <c r="AA91" s="134">
        <f>'4.Two-Phase MUT'!AD16</f>
        <v>0.505</v>
      </c>
      <c r="AB91" s="134">
        <f>'4.Two-Phase MUT'!AE16</f>
        <v>0</v>
      </c>
      <c r="AC91" s="134">
        <f>'4.Two-Phase MUT'!AF16</f>
        <v>0</v>
      </c>
      <c r="AD91" s="134">
        <f>'4.Two-Phase MUT'!AG16</f>
        <v>1</v>
      </c>
      <c r="AE91" s="134" t="str">
        <f>'4.Two-Phase MUT'!AH16</f>
        <v>EBT</v>
      </c>
      <c r="AF91" s="134">
        <f>'4.Two-Phase MUT'!AI16</f>
        <v>2</v>
      </c>
      <c r="AG91" s="134">
        <f>'4.Two-Phase MUT'!AJ16</f>
        <v>1.75</v>
      </c>
      <c r="AH91" s="134">
        <f>'4.Two-Phase MUT'!AK16</f>
        <v>1.75</v>
      </c>
      <c r="AI91" s="134">
        <f>'4.Two-Phase MUT'!AL16</f>
        <v>45</v>
      </c>
      <c r="AJ91" s="134">
        <f>'4.Two-Phase MUT'!AM16</f>
        <v>0.83333333333333326</v>
      </c>
      <c r="AK91" s="140">
        <f>'4.Two-Phase MUT'!AN16</f>
        <v>0.73645833333333333</v>
      </c>
      <c r="AL91" s="634"/>
      <c r="AN91" s="618"/>
      <c r="AO91" s="618"/>
      <c r="AP91" s="121" t="s">
        <v>28</v>
      </c>
      <c r="AQ91" s="157">
        <f>'4.Two-Phase MUT'!AR16</f>
        <v>398125000</v>
      </c>
      <c r="AR91" s="158">
        <f>'4.Two-Phase MUT'!AS16</f>
        <v>1.3450397535952898E-2</v>
      </c>
      <c r="AS91" s="116">
        <f>'4.Two-Phase MUT'!AT16</f>
        <v>0.73645833333333333</v>
      </c>
      <c r="AT91" s="116">
        <f>'4.Two-Phase MUT'!AU16</f>
        <v>1</v>
      </c>
      <c r="AU91" s="6">
        <f>'4.Two-Phase MUT'!AV16</f>
        <v>3943689.8332644603</v>
      </c>
      <c r="AV91" s="621"/>
      <c r="AW91" s="621"/>
      <c r="AX91" s="624"/>
    </row>
    <row r="92" spans="1:50" ht="20.25" thickTop="1" thickBot="1" x14ac:dyDescent="0.35">
      <c r="A92" s="660"/>
      <c r="B92" s="660"/>
      <c r="C92" s="197" t="s">
        <v>21</v>
      </c>
      <c r="D92" s="186" t="str">
        <f>'4.Two-Phase MUT'!L17</f>
        <v>(EBR+WBL)*SBT</v>
      </c>
      <c r="E92" s="187">
        <f>'4.Two-Phase MUT'!M17</f>
        <v>134062500</v>
      </c>
      <c r="F92" s="662"/>
      <c r="G92" s="655"/>
      <c r="I92" s="652"/>
      <c r="J92" s="652"/>
      <c r="K92" s="198" t="s">
        <v>21</v>
      </c>
      <c r="L92" s="192">
        <f>'4.Two-Phase MUT'!Q17</f>
        <v>25</v>
      </c>
      <c r="M92" s="192">
        <f>'4.Two-Phase MUT'!R17</f>
        <v>15</v>
      </c>
      <c r="N92" s="192">
        <f>'4.Two-Phase MUT'!S17</f>
        <v>45</v>
      </c>
      <c r="O92" s="192">
        <f>'4.Two-Phase MUT'!T17</f>
        <v>8.9396576292116645</v>
      </c>
      <c r="P92" s="192">
        <f>'4.Two-Phase MUT'!U17</f>
        <v>4.7596350895839364E-4</v>
      </c>
      <c r="Q92" s="192">
        <f>'4.Two-Phase MUT'!V17</f>
        <v>9.5170047665492732E-4</v>
      </c>
      <c r="R92" s="655"/>
      <c r="T92" s="618"/>
      <c r="U92" s="618"/>
      <c r="V92" s="85" t="s">
        <v>21</v>
      </c>
      <c r="W92" s="148" t="str">
        <f>'4.Two-Phase MUT'!Z17</f>
        <v>M</v>
      </c>
      <c r="X92" s="142" t="str">
        <f>'4.Two-Phase MUT'!AA17</f>
        <v>Protected</v>
      </c>
      <c r="Y92" s="142">
        <f>'4.Two-Phase MUT'!AB17</f>
        <v>0.01</v>
      </c>
      <c r="Z92" s="142">
        <f>'4.Two-Phase MUT'!AC17</f>
        <v>0.5</v>
      </c>
      <c r="AA92" s="142">
        <f>'4.Two-Phase MUT'!AD17</f>
        <v>0.505</v>
      </c>
      <c r="AB92" s="142" t="str">
        <f>'4.Two-Phase MUT'!AE17</f>
        <v>WBT+EBT</v>
      </c>
      <c r="AC92" s="142">
        <f>'4.Two-Phase MUT'!AF17</f>
        <v>4</v>
      </c>
      <c r="AD92" s="142">
        <f>'4.Two-Phase MUT'!AG17</f>
        <v>0</v>
      </c>
      <c r="AE92" s="142" t="str">
        <f>'4.Two-Phase MUT'!AH17</f>
        <v>SBT</v>
      </c>
      <c r="AF92" s="142">
        <f>'4.Two-Phase MUT'!AI17</f>
        <v>1</v>
      </c>
      <c r="AG92" s="142">
        <f>'4.Two-Phase MUT'!AJ17</f>
        <v>0</v>
      </c>
      <c r="AH92" s="142">
        <f>'4.Two-Phase MUT'!AK17</f>
        <v>4</v>
      </c>
      <c r="AI92" s="142">
        <f>'4.Two-Phase MUT'!AL17</f>
        <v>45</v>
      </c>
      <c r="AJ92" s="142">
        <f>'4.Two-Phase MUT'!AM17</f>
        <v>0.83333333333333326</v>
      </c>
      <c r="AK92" s="143">
        <f>'4.Two-Phase MUT'!AN17</f>
        <v>1.6833333333333331</v>
      </c>
      <c r="AL92" s="635"/>
      <c r="AN92" s="618"/>
      <c r="AO92" s="618"/>
      <c r="AP92" s="129" t="s">
        <v>21</v>
      </c>
      <c r="AQ92" s="159">
        <f>'4.Two-Phase MUT'!AR17</f>
        <v>134062500</v>
      </c>
      <c r="AR92" s="160">
        <f>'4.Two-Phase MUT'!AS17</f>
        <v>9.5170047665492732E-4</v>
      </c>
      <c r="AS92" s="161">
        <f>'4.Two-Phase MUT'!AT17</f>
        <v>1.6833333333333331</v>
      </c>
      <c r="AT92" s="161">
        <f>'4.Two-Phase MUT'!AU17</f>
        <v>1</v>
      </c>
      <c r="AU92" s="6">
        <f>'4.Two-Phase MUT'!AV17</f>
        <v>214772.03100511114</v>
      </c>
      <c r="AV92" s="621"/>
      <c r="AW92" s="621"/>
      <c r="AX92" s="624"/>
    </row>
    <row r="93" spans="1:50" ht="20.25" thickTop="1" thickBot="1" x14ac:dyDescent="0.35">
      <c r="A93" s="660"/>
      <c r="B93" s="660"/>
      <c r="C93" s="199" t="s">
        <v>26</v>
      </c>
      <c r="D93" s="182" t="str">
        <f>'4.Two-Phase MUT'!L18</f>
        <v>NBT*(EBT+EBL+SBL)</v>
      </c>
      <c r="E93" s="195">
        <f>'4.Two-Phase MUT'!M18</f>
        <v>235125000</v>
      </c>
      <c r="F93" s="661">
        <f>SUM(E93:E96)</f>
        <v>940500000</v>
      </c>
      <c r="G93" s="654">
        <f>F93/F21</f>
        <v>0.74022332628265042</v>
      </c>
      <c r="I93" s="652"/>
      <c r="J93" s="652"/>
      <c r="K93" s="207" t="s">
        <v>26</v>
      </c>
      <c r="L93" s="201">
        <f>'4.Two-Phase MUT'!Q18</f>
        <v>45</v>
      </c>
      <c r="M93" s="201">
        <f>'4.Two-Phase MUT'!R18</f>
        <v>15</v>
      </c>
      <c r="N93" s="201">
        <f>'4.Two-Phase MUT'!S18</f>
        <v>270</v>
      </c>
      <c r="O93" s="201">
        <f>'4.Two-Phase MUT'!T18</f>
        <v>23.717082451262847</v>
      </c>
      <c r="P93" s="201">
        <f>'4.Two-Phase MUT'!U18</f>
        <v>1.9210987348136605E-2</v>
      </c>
      <c r="Q93" s="201">
        <f>'4.Two-Phase MUT'!V18</f>
        <v>3.8052912661382943E-2</v>
      </c>
      <c r="R93" s="654">
        <f>'4.Two-Phase MUT'!W18</f>
        <v>4.4878152490877538E-2</v>
      </c>
      <c r="T93" s="618"/>
      <c r="U93" s="618"/>
      <c r="V93" s="79" t="s">
        <v>26</v>
      </c>
      <c r="W93" s="147" t="str">
        <f>'4.Two-Phase MUT'!Z18</f>
        <v>C</v>
      </c>
      <c r="X93" s="137" t="str">
        <f>'4.Two-Phase MUT'!AA18</f>
        <v xml:space="preserve">Protected </v>
      </c>
      <c r="Y93" s="137">
        <f>'4.Two-Phase MUT'!AB18</f>
        <v>0.01</v>
      </c>
      <c r="Z93" s="137">
        <f>'4.Two-Phase MUT'!AC18</f>
        <v>0.5</v>
      </c>
      <c r="AA93" s="137">
        <f>'4.Two-Phase MUT'!AD18</f>
        <v>0.505</v>
      </c>
      <c r="AB93" s="137" t="str">
        <f>'4.Two-Phase MUT'!AE18</f>
        <v>EBT+WBT</v>
      </c>
      <c r="AC93" s="137">
        <f>'4.Two-Phase MUT'!AF18</f>
        <v>4</v>
      </c>
      <c r="AD93" s="137">
        <f>'4.Two-Phase MUT'!AG18</f>
        <v>0</v>
      </c>
      <c r="AE93" s="137" t="str">
        <f>'4.Two-Phase MUT'!AH18</f>
        <v>NBT</v>
      </c>
      <c r="AF93" s="137">
        <f>'4.Two-Phase MUT'!AI18</f>
        <v>1</v>
      </c>
      <c r="AG93" s="137">
        <f>'4.Two-Phase MUT'!AJ18</f>
        <v>0</v>
      </c>
      <c r="AH93" s="137">
        <f>'4.Two-Phase MUT'!AK18</f>
        <v>4</v>
      </c>
      <c r="AI93" s="137">
        <f>'4.Two-Phase MUT'!AL18</f>
        <v>45</v>
      </c>
      <c r="AJ93" s="137">
        <f>'4.Two-Phase MUT'!AM18</f>
        <v>0.83333333333333326</v>
      </c>
      <c r="AK93" s="138">
        <f>'4.Two-Phase MUT'!AN18</f>
        <v>1.6833333333333331</v>
      </c>
      <c r="AL93" s="633">
        <f>'4.Two-Phase MUT'!AO18</f>
        <v>1.6833333333333331</v>
      </c>
      <c r="AN93" s="618"/>
      <c r="AO93" s="618"/>
      <c r="AP93" s="123" t="s">
        <v>26</v>
      </c>
      <c r="AQ93" s="156">
        <f>'4.Two-Phase MUT'!AR18</f>
        <v>235125000</v>
      </c>
      <c r="AR93" s="133">
        <f>'4.Two-Phase MUT'!AS18</f>
        <v>3.8052912661382943E-2</v>
      </c>
      <c r="AS93" s="114">
        <f>'4.Two-Phase MUT'!AT18</f>
        <v>1.6833333333333331</v>
      </c>
      <c r="AT93" s="114">
        <f>'4.Two-Phase MUT'!AU18</f>
        <v>1</v>
      </c>
      <c r="AU93" s="5">
        <f>'4.Two-Phase MUT'!AV18</f>
        <v>15061105.000671232</v>
      </c>
      <c r="AV93" s="620">
        <f>'4.Two-Phase MUT'!AW18</f>
        <v>71049969.069745019</v>
      </c>
      <c r="AW93" s="620">
        <f>'4.Two-Phase MUT'!AX18</f>
        <v>0.55936171319065453</v>
      </c>
      <c r="AX93" s="624"/>
    </row>
    <row r="94" spans="1:50" ht="20.25" thickTop="1" thickBot="1" x14ac:dyDescent="0.35">
      <c r="A94" s="660"/>
      <c r="B94" s="660"/>
      <c r="C94" s="202" t="s">
        <v>27</v>
      </c>
      <c r="D94" s="186" t="str">
        <f>'4.Two-Phase MUT'!L19</f>
        <v>NBT*(NBL+WBT+WBL)</v>
      </c>
      <c r="E94" s="187">
        <f>'4.Two-Phase MUT'!M19</f>
        <v>235125000</v>
      </c>
      <c r="F94" s="662"/>
      <c r="G94" s="655"/>
      <c r="I94" s="652"/>
      <c r="J94" s="652"/>
      <c r="K94" s="202" t="s">
        <v>27</v>
      </c>
      <c r="L94" s="186">
        <f>'4.Two-Phase MUT'!Q19</f>
        <v>45</v>
      </c>
      <c r="M94" s="186">
        <f>'4.Two-Phase MUT'!R19</f>
        <v>25</v>
      </c>
      <c r="N94" s="186">
        <f>'4.Two-Phase MUT'!S19</f>
        <v>270</v>
      </c>
      <c r="O94" s="186">
        <f>'4.Two-Phase MUT'!T19</f>
        <v>25.739075352467502</v>
      </c>
      <c r="P94" s="186">
        <f>'4.Two-Phase MUT'!U19</f>
        <v>2.6194779393934508E-2</v>
      </c>
      <c r="Q94" s="186">
        <f>'4.Two-Phase MUT'!V19</f>
        <v>5.1703392320372119E-2</v>
      </c>
      <c r="R94" s="655"/>
      <c r="T94" s="618"/>
      <c r="U94" s="618"/>
      <c r="V94" s="80" t="s">
        <v>27</v>
      </c>
      <c r="W94" s="148" t="str">
        <f>'4.Two-Phase MUT'!Z19</f>
        <v>C</v>
      </c>
      <c r="X94" s="134" t="str">
        <f>'4.Two-Phase MUT'!AA19</f>
        <v xml:space="preserve">Protected </v>
      </c>
      <c r="Y94" s="134">
        <f>'4.Two-Phase MUT'!AB19</f>
        <v>0.01</v>
      </c>
      <c r="Z94" s="134">
        <f>'4.Two-Phase MUT'!AC19</f>
        <v>0.5</v>
      </c>
      <c r="AA94" s="134">
        <f>'4.Two-Phase MUT'!AD19</f>
        <v>0.505</v>
      </c>
      <c r="AB94" s="134" t="str">
        <f>'4.Two-Phase MUT'!AE19</f>
        <v>EBT+WBT</v>
      </c>
      <c r="AC94" s="134">
        <f>'4.Two-Phase MUT'!AF19</f>
        <v>4</v>
      </c>
      <c r="AD94" s="134">
        <f>'4.Two-Phase MUT'!AG19</f>
        <v>0</v>
      </c>
      <c r="AE94" s="134" t="str">
        <f>'4.Two-Phase MUT'!AH19</f>
        <v>NBT</v>
      </c>
      <c r="AF94" s="134">
        <f>'4.Two-Phase MUT'!AI19</f>
        <v>1</v>
      </c>
      <c r="AG94" s="134">
        <f>'4.Two-Phase MUT'!AJ19</f>
        <v>0</v>
      </c>
      <c r="AH94" s="134">
        <f>'4.Two-Phase MUT'!AK19</f>
        <v>4</v>
      </c>
      <c r="AI94" s="134">
        <f>'4.Two-Phase MUT'!AL19</f>
        <v>45</v>
      </c>
      <c r="AJ94" s="134">
        <f>'4.Two-Phase MUT'!AM19</f>
        <v>0.83333333333333326</v>
      </c>
      <c r="AK94" s="140">
        <f>'4.Two-Phase MUT'!AN19</f>
        <v>1.6833333333333331</v>
      </c>
      <c r="AL94" s="634"/>
      <c r="AN94" s="618"/>
      <c r="AO94" s="618"/>
      <c r="AP94" s="124" t="s">
        <v>27</v>
      </c>
      <c r="AQ94" s="157">
        <f>'4.Two-Phase MUT'!AR19</f>
        <v>235125000</v>
      </c>
      <c r="AR94" s="158">
        <f>'4.Two-Phase MUT'!AS19</f>
        <v>5.1703392320372119E-2</v>
      </c>
      <c r="AS94" s="116">
        <f>'4.Two-Phase MUT'!AT19</f>
        <v>1.6833333333333331</v>
      </c>
      <c r="AT94" s="116">
        <f>'4.Two-Phase MUT'!AU19</f>
        <v>1</v>
      </c>
      <c r="AU94" s="6">
        <f>'4.Two-Phase MUT'!AV19</f>
        <v>20463879.534201279</v>
      </c>
      <c r="AV94" s="621"/>
      <c r="AW94" s="621"/>
      <c r="AX94" s="624"/>
    </row>
    <row r="95" spans="1:50" ht="20.25" thickTop="1" thickBot="1" x14ac:dyDescent="0.35">
      <c r="A95" s="660"/>
      <c r="B95" s="660"/>
      <c r="C95" s="202" t="s">
        <v>22</v>
      </c>
      <c r="D95" s="186" t="str">
        <f>'4.Two-Phase MUT'!L20</f>
        <v>SBT*(WBT+WBL+NBL)</v>
      </c>
      <c r="E95" s="187">
        <f>'4.Two-Phase MUT'!M20</f>
        <v>235125000</v>
      </c>
      <c r="F95" s="662"/>
      <c r="G95" s="655"/>
      <c r="I95" s="652"/>
      <c r="J95" s="652"/>
      <c r="K95" s="202" t="s">
        <v>22</v>
      </c>
      <c r="L95" s="186">
        <f>'4.Two-Phase MUT'!Q20</f>
        <v>45</v>
      </c>
      <c r="M95" s="186">
        <f>'4.Two-Phase MUT'!R20</f>
        <v>15</v>
      </c>
      <c r="N95" s="186">
        <f>'4.Two-Phase MUT'!S20</f>
        <v>270</v>
      </c>
      <c r="O95" s="186">
        <f>'4.Two-Phase MUT'!T20</f>
        <v>23.717082451262847</v>
      </c>
      <c r="P95" s="186">
        <f>'4.Two-Phase MUT'!U20</f>
        <v>1.9210987348136605E-2</v>
      </c>
      <c r="Q95" s="186">
        <f>'4.Two-Phase MUT'!V20</f>
        <v>3.8052912661382943E-2</v>
      </c>
      <c r="R95" s="655"/>
      <c r="T95" s="618"/>
      <c r="U95" s="618"/>
      <c r="V95" s="80" t="s">
        <v>22</v>
      </c>
      <c r="W95" s="148" t="str">
        <f>'4.Two-Phase MUT'!Z20</f>
        <v>C</v>
      </c>
      <c r="X95" s="134" t="str">
        <f>'4.Two-Phase MUT'!AA20</f>
        <v xml:space="preserve">Protected </v>
      </c>
      <c r="Y95" s="134">
        <f>'4.Two-Phase MUT'!AB20</f>
        <v>0.01</v>
      </c>
      <c r="Z95" s="134">
        <f>'4.Two-Phase MUT'!AC20</f>
        <v>0.5</v>
      </c>
      <c r="AA95" s="134">
        <f>'4.Two-Phase MUT'!AD20</f>
        <v>0.505</v>
      </c>
      <c r="AB95" s="134" t="str">
        <f>'4.Two-Phase MUT'!AE20</f>
        <v>WBT+EBT</v>
      </c>
      <c r="AC95" s="134">
        <f>'4.Two-Phase MUT'!AF20</f>
        <v>4</v>
      </c>
      <c r="AD95" s="134">
        <f>'4.Two-Phase MUT'!AG20</f>
        <v>0</v>
      </c>
      <c r="AE95" s="134" t="str">
        <f>'4.Two-Phase MUT'!AH20</f>
        <v>SBT</v>
      </c>
      <c r="AF95" s="134">
        <f>'4.Two-Phase MUT'!AI20</f>
        <v>1</v>
      </c>
      <c r="AG95" s="134">
        <f>'4.Two-Phase MUT'!AJ20</f>
        <v>0</v>
      </c>
      <c r="AH95" s="134">
        <f>'4.Two-Phase MUT'!AK20</f>
        <v>4</v>
      </c>
      <c r="AI95" s="134">
        <f>'4.Two-Phase MUT'!AL20</f>
        <v>45</v>
      </c>
      <c r="AJ95" s="134">
        <f>'4.Two-Phase MUT'!AM20</f>
        <v>0.83333333333333326</v>
      </c>
      <c r="AK95" s="140">
        <f>'4.Two-Phase MUT'!AN20</f>
        <v>1.6833333333333331</v>
      </c>
      <c r="AL95" s="634"/>
      <c r="AN95" s="618"/>
      <c r="AO95" s="618"/>
      <c r="AP95" s="124" t="s">
        <v>22</v>
      </c>
      <c r="AQ95" s="157">
        <f>'4.Two-Phase MUT'!AR20</f>
        <v>235125000</v>
      </c>
      <c r="AR95" s="158">
        <f>'4.Two-Phase MUT'!AS20</f>
        <v>3.8052912661382943E-2</v>
      </c>
      <c r="AS95" s="116">
        <f>'4.Two-Phase MUT'!AT20</f>
        <v>1.6833333333333331</v>
      </c>
      <c r="AT95" s="116">
        <f>'4.Two-Phase MUT'!AU20</f>
        <v>1</v>
      </c>
      <c r="AU95" s="6">
        <f>'4.Two-Phase MUT'!AV20</f>
        <v>15061105.000671232</v>
      </c>
      <c r="AV95" s="621"/>
      <c r="AW95" s="621"/>
      <c r="AX95" s="624"/>
    </row>
    <row r="96" spans="1:50" ht="20.25" thickTop="1" thickBot="1" x14ac:dyDescent="0.35">
      <c r="A96" s="660"/>
      <c r="B96" s="660"/>
      <c r="C96" s="204" t="s">
        <v>20</v>
      </c>
      <c r="D96" s="192" t="str">
        <f>'4.Two-Phase MUT'!L21</f>
        <v>SBT*(SBL+EBT+EBL)</v>
      </c>
      <c r="E96" s="193">
        <f>'4.Two-Phase MUT'!M21</f>
        <v>235125000</v>
      </c>
      <c r="F96" s="663"/>
      <c r="G96" s="656"/>
      <c r="I96" s="653"/>
      <c r="J96" s="653"/>
      <c r="K96" s="204" t="s">
        <v>20</v>
      </c>
      <c r="L96" s="192">
        <f>'4.Two-Phase MUT'!Q21</f>
        <v>45</v>
      </c>
      <c r="M96" s="192">
        <f>'4.Two-Phase MUT'!R21</f>
        <v>25</v>
      </c>
      <c r="N96" s="192">
        <f>'4.Two-Phase MUT'!S21</f>
        <v>270</v>
      </c>
      <c r="O96" s="192">
        <f>'4.Two-Phase MUT'!T21</f>
        <v>25.739075352467502</v>
      </c>
      <c r="P96" s="192">
        <f>'4.Two-Phase MUT'!U21</f>
        <v>2.6194779393934508E-2</v>
      </c>
      <c r="Q96" s="192">
        <f>'4.Two-Phase MUT'!V21</f>
        <v>5.1703392320372119E-2</v>
      </c>
      <c r="R96" s="656"/>
      <c r="T96" s="619"/>
      <c r="U96" s="619"/>
      <c r="V96" s="81" t="s">
        <v>20</v>
      </c>
      <c r="W96" s="148" t="str">
        <f>'4.Two-Phase MUT'!Z21</f>
        <v>C</v>
      </c>
      <c r="X96" s="142" t="str">
        <f>'4.Two-Phase MUT'!AA21</f>
        <v xml:space="preserve">Protected </v>
      </c>
      <c r="Y96" s="142">
        <f>'4.Two-Phase MUT'!AB21</f>
        <v>0.01</v>
      </c>
      <c r="Z96" s="142">
        <f>'4.Two-Phase MUT'!AC21</f>
        <v>0.5</v>
      </c>
      <c r="AA96" s="142">
        <f>'4.Two-Phase MUT'!AD21</f>
        <v>0.505</v>
      </c>
      <c r="AB96" s="142" t="str">
        <f>'4.Two-Phase MUT'!AE21</f>
        <v>WBT+EBT</v>
      </c>
      <c r="AC96" s="142">
        <f>'4.Two-Phase MUT'!AF21</f>
        <v>4</v>
      </c>
      <c r="AD96" s="142">
        <f>'4.Two-Phase MUT'!AG21</f>
        <v>0</v>
      </c>
      <c r="AE96" s="142" t="str">
        <f>'4.Two-Phase MUT'!AH21</f>
        <v>SBT</v>
      </c>
      <c r="AF96" s="142">
        <f>'4.Two-Phase MUT'!AI21</f>
        <v>1</v>
      </c>
      <c r="AG96" s="142">
        <f>'4.Two-Phase MUT'!AJ21</f>
        <v>0</v>
      </c>
      <c r="AH96" s="142">
        <f>'4.Two-Phase MUT'!AK21</f>
        <v>4</v>
      </c>
      <c r="AI96" s="142">
        <f>'4.Two-Phase MUT'!AL21</f>
        <v>45</v>
      </c>
      <c r="AJ96" s="142">
        <f>'4.Two-Phase MUT'!AM21</f>
        <v>0.83333333333333326</v>
      </c>
      <c r="AK96" s="143">
        <f>'4.Two-Phase MUT'!AN21</f>
        <v>1.6833333333333331</v>
      </c>
      <c r="AL96" s="635"/>
      <c r="AN96" s="619"/>
      <c r="AO96" s="619"/>
      <c r="AP96" s="125" t="s">
        <v>20</v>
      </c>
      <c r="AQ96" s="159">
        <f>'4.Two-Phase MUT'!AR21</f>
        <v>235125000</v>
      </c>
      <c r="AR96" s="160">
        <f>'4.Two-Phase MUT'!AS21</f>
        <v>5.1703392320372119E-2</v>
      </c>
      <c r="AS96" s="119">
        <f>'4.Two-Phase MUT'!AT21</f>
        <v>1.6833333333333331</v>
      </c>
      <c r="AT96" s="119">
        <f>'4.Two-Phase MUT'!AU21</f>
        <v>1</v>
      </c>
      <c r="AU96" s="7">
        <f>'4.Two-Phase MUT'!AV21</f>
        <v>20463879.534201279</v>
      </c>
      <c r="AV96" s="622"/>
      <c r="AW96" s="622"/>
      <c r="AX96" s="625"/>
    </row>
    <row r="97" ht="15.75" thickTop="1" x14ac:dyDescent="0.25"/>
  </sheetData>
  <mergeCells count="130">
    <mergeCell ref="F93:F96"/>
    <mergeCell ref="G93:G96"/>
    <mergeCell ref="B5:B36"/>
    <mergeCell ref="F5:F12"/>
    <mergeCell ref="G5:G12"/>
    <mergeCell ref="F13:F20"/>
    <mergeCell ref="G13:G20"/>
    <mergeCell ref="F21:F36"/>
    <mergeCell ref="G21:G36"/>
    <mergeCell ref="B67:B80"/>
    <mergeCell ref="F67:F72"/>
    <mergeCell ref="G67:G72"/>
    <mergeCell ref="I81:I96"/>
    <mergeCell ref="I37:I66"/>
    <mergeCell ref="I67:I80"/>
    <mergeCell ref="I5:I36"/>
    <mergeCell ref="A5:A36"/>
    <mergeCell ref="A81:A96"/>
    <mergeCell ref="A37:A66"/>
    <mergeCell ref="A67:A80"/>
    <mergeCell ref="F73:F78"/>
    <mergeCell ref="G73:G78"/>
    <mergeCell ref="F79:F80"/>
    <mergeCell ref="G79:G80"/>
    <mergeCell ref="B37:B66"/>
    <mergeCell ref="F37:F44"/>
    <mergeCell ref="G37:G44"/>
    <mergeCell ref="F45:F52"/>
    <mergeCell ref="G45:G52"/>
    <mergeCell ref="F53:F66"/>
    <mergeCell ref="G53:G66"/>
    <mergeCell ref="B81:B96"/>
    <mergeCell ref="F81:F86"/>
    <mergeCell ref="G81:G86"/>
    <mergeCell ref="F87:F92"/>
    <mergeCell ref="G87:G92"/>
    <mergeCell ref="J81:J96"/>
    <mergeCell ref="R81:R86"/>
    <mergeCell ref="R87:R92"/>
    <mergeCell ref="R93:R96"/>
    <mergeCell ref="J5:J36"/>
    <mergeCell ref="R5:R12"/>
    <mergeCell ref="R13:R20"/>
    <mergeCell ref="R21:R36"/>
    <mergeCell ref="R45:R52"/>
    <mergeCell ref="R53:R66"/>
    <mergeCell ref="J67:J80"/>
    <mergeCell ref="R67:R72"/>
    <mergeCell ref="R73:R78"/>
    <mergeCell ref="R79:R80"/>
    <mergeCell ref="J37:J66"/>
    <mergeCell ref="R37:R44"/>
    <mergeCell ref="T1:AL1"/>
    <mergeCell ref="T2:T4"/>
    <mergeCell ref="U2:U4"/>
    <mergeCell ref="V2:V4"/>
    <mergeCell ref="W2:W4"/>
    <mergeCell ref="X2:AA2"/>
    <mergeCell ref="AB2:AH2"/>
    <mergeCell ref="AI2:AJ2"/>
    <mergeCell ref="AK2:AK4"/>
    <mergeCell ref="AL2:AL4"/>
    <mergeCell ref="AH3:AH4"/>
    <mergeCell ref="AI3:AI4"/>
    <mergeCell ref="AJ3:AJ4"/>
    <mergeCell ref="U5:U36"/>
    <mergeCell ref="AL5:AL12"/>
    <mergeCell ref="AL13:AL20"/>
    <mergeCell ref="AL21:AL36"/>
    <mergeCell ref="X3:X4"/>
    <mergeCell ref="Y3:Y4"/>
    <mergeCell ref="Z3:Z4"/>
    <mergeCell ref="AA3:AA4"/>
    <mergeCell ref="AB3:AC3"/>
    <mergeCell ref="AD3:AG3"/>
    <mergeCell ref="AN81:AN96"/>
    <mergeCell ref="AN5:AN36"/>
    <mergeCell ref="AN37:AN66"/>
    <mergeCell ref="AO67:AO80"/>
    <mergeCell ref="AV67:AV72"/>
    <mergeCell ref="AN67:AN80"/>
    <mergeCell ref="A1:G3"/>
    <mergeCell ref="I1:R3"/>
    <mergeCell ref="T67:T80"/>
    <mergeCell ref="U67:U80"/>
    <mergeCell ref="AL67:AL72"/>
    <mergeCell ref="AL73:AL78"/>
    <mergeCell ref="AL79:AL80"/>
    <mergeCell ref="T81:T96"/>
    <mergeCell ref="U81:U96"/>
    <mergeCell ref="AL81:AL86"/>
    <mergeCell ref="AL87:AL92"/>
    <mergeCell ref="AL93:AL96"/>
    <mergeCell ref="T37:T66"/>
    <mergeCell ref="U37:U66"/>
    <mergeCell ref="AL37:AL44"/>
    <mergeCell ref="AL45:AL52"/>
    <mergeCell ref="AL53:AL66"/>
    <mergeCell ref="T5:T36"/>
    <mergeCell ref="AO81:AO96"/>
    <mergeCell ref="AV81:AV86"/>
    <mergeCell ref="AW81:AW86"/>
    <mergeCell ref="AX81:AX96"/>
    <mergeCell ref="AV87:AV92"/>
    <mergeCell ref="AW87:AW92"/>
    <mergeCell ref="AV93:AV96"/>
    <mergeCell ref="AW93:AW96"/>
    <mergeCell ref="AO37:AO66"/>
    <mergeCell ref="AV37:AV44"/>
    <mergeCell ref="AW37:AW44"/>
    <mergeCell ref="AX37:AX66"/>
    <mergeCell ref="AV45:AV52"/>
    <mergeCell ref="AW45:AW52"/>
    <mergeCell ref="AV53:AV66"/>
    <mergeCell ref="AW53:AW66"/>
    <mergeCell ref="AW67:AW72"/>
    <mergeCell ref="AX67:AX80"/>
    <mergeCell ref="AV73:AV78"/>
    <mergeCell ref="AW73:AW78"/>
    <mergeCell ref="AV79:AV80"/>
    <mergeCell ref="AW79:AW80"/>
    <mergeCell ref="AN1:AX3"/>
    <mergeCell ref="AO5:AO36"/>
    <mergeCell ref="AV5:AV12"/>
    <mergeCell ref="AW5:AW12"/>
    <mergeCell ref="AX5:AX36"/>
    <mergeCell ref="AV13:AV20"/>
    <mergeCell ref="AW13:AW20"/>
    <mergeCell ref="AV21:AV36"/>
    <mergeCell ref="AW21:AW36"/>
  </mergeCell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U93"/>
  <sheetViews>
    <sheetView zoomScale="55" zoomScaleNormal="55" workbookViewId="0">
      <selection activeCell="R46" sqref="R46"/>
    </sheetView>
  </sheetViews>
  <sheetFormatPr defaultColWidth="9.140625" defaultRowHeight="15" x14ac:dyDescent="0.25"/>
  <cols>
    <col min="1" max="1" width="13.5703125" style="9" customWidth="1"/>
    <col min="2" max="2" width="23.85546875" style="9" customWidth="1"/>
    <col min="3" max="3" width="20.5703125" style="9" customWidth="1"/>
    <col min="4" max="4" width="12.85546875" style="9" bestFit="1" customWidth="1"/>
    <col min="5" max="5" width="15.140625" style="9" customWidth="1"/>
    <col min="6" max="6" width="23.28515625" style="9" customWidth="1"/>
    <col min="7" max="7" width="13.7109375" style="9" bestFit="1" customWidth="1"/>
    <col min="8" max="8" width="12.140625" style="9" bestFit="1" customWidth="1"/>
    <col min="9" max="9" width="14.7109375" style="9" bestFit="1" customWidth="1"/>
    <col min="10" max="10" width="9.7109375" style="9" bestFit="1" customWidth="1"/>
    <col min="11" max="11" width="19.140625" style="16" bestFit="1" customWidth="1"/>
    <col min="12" max="12" width="20.140625" style="9" bestFit="1" customWidth="1"/>
    <col min="13" max="13" width="13.140625" style="9" bestFit="1" customWidth="1"/>
    <col min="14" max="14" width="18.5703125" style="9" bestFit="1" customWidth="1"/>
    <col min="15" max="15" width="9.7109375" style="9" bestFit="1" customWidth="1"/>
    <col min="16" max="16" width="19.140625" style="9" bestFit="1" customWidth="1"/>
    <col min="17" max="18" width="9.7109375" style="9" bestFit="1" customWidth="1"/>
    <col min="19" max="19" width="10.5703125" style="9" bestFit="1" customWidth="1"/>
    <col min="20" max="22" width="16" style="9" bestFit="1" customWidth="1"/>
    <col min="23" max="23" width="20.42578125" style="9" bestFit="1" customWidth="1"/>
    <col min="24" max="24" width="9.7109375" style="9" bestFit="1" customWidth="1"/>
    <col min="25" max="25" width="19.140625" style="9" bestFit="1" customWidth="1"/>
    <col min="26" max="26" width="16.5703125" style="9"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2"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52" width="15.140625" style="9" customWidth="1"/>
    <col min="53" max="53" width="39.140625" style="9" bestFit="1" customWidth="1"/>
    <col min="54" max="54" width="17" style="9" customWidth="1"/>
    <col min="55" max="55" width="16.85546875" style="9" customWidth="1"/>
    <col min="56" max="56" width="22.7109375" style="9" bestFit="1" customWidth="1"/>
    <col min="57" max="57" width="10.5703125" style="9" customWidth="1"/>
    <col min="58" max="58" width="14" style="9" customWidth="1"/>
    <col min="59" max="59" width="15.7109375" style="9" bestFit="1" customWidth="1"/>
    <col min="60" max="16384" width="9.140625" style="9"/>
  </cols>
  <sheetData>
    <row r="1" spans="1:99" x14ac:dyDescent="0.25">
      <c r="B1" s="64"/>
      <c r="C1" s="64" t="s">
        <v>90</v>
      </c>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99" ht="15.75" thickBot="1" x14ac:dyDescent="0.3">
      <c r="C2" s="17"/>
      <c r="K2" s="666" t="s">
        <v>168</v>
      </c>
      <c r="L2" s="666"/>
      <c r="M2" s="666"/>
      <c r="N2" s="666"/>
      <c r="P2" s="668" t="s">
        <v>213</v>
      </c>
      <c r="Q2" s="668"/>
      <c r="R2" s="668"/>
      <c r="S2" s="668"/>
      <c r="T2" s="668"/>
      <c r="U2" s="668"/>
      <c r="V2" s="668"/>
      <c r="W2" s="668"/>
      <c r="Y2" s="670" t="s">
        <v>248</v>
      </c>
      <c r="Z2" s="670"/>
      <c r="AA2" s="670"/>
      <c r="AB2" s="670"/>
      <c r="AC2" s="670"/>
      <c r="AD2" s="670"/>
      <c r="AE2" s="670"/>
      <c r="AF2" s="670"/>
      <c r="AG2" s="670"/>
      <c r="AH2" s="670"/>
      <c r="AI2" s="670"/>
      <c r="AJ2" s="670"/>
      <c r="AK2" s="670"/>
      <c r="AL2" s="670"/>
      <c r="AM2" s="670"/>
      <c r="AN2" s="670"/>
      <c r="AO2" s="670"/>
      <c r="AQ2" s="664" t="s">
        <v>244</v>
      </c>
      <c r="AR2" s="664"/>
      <c r="AS2" s="664"/>
      <c r="AT2" s="664"/>
      <c r="AU2" s="664"/>
      <c r="AV2" s="664"/>
      <c r="AW2" s="664"/>
      <c r="AX2" s="664"/>
      <c r="AY2" s="664"/>
    </row>
    <row r="3" spans="1:99" ht="16.5" thickTop="1" thickBot="1" x14ac:dyDescent="0.3">
      <c r="C3" s="17"/>
      <c r="K3" s="666"/>
      <c r="L3" s="666"/>
      <c r="M3" s="666"/>
      <c r="N3" s="666"/>
      <c r="P3" s="668"/>
      <c r="Q3" s="668"/>
      <c r="R3" s="668"/>
      <c r="S3" s="668"/>
      <c r="T3" s="668"/>
      <c r="U3" s="668"/>
      <c r="V3" s="668"/>
      <c r="W3" s="668"/>
      <c r="Y3" s="574" t="s">
        <v>188</v>
      </c>
      <c r="Z3" s="574" t="s">
        <v>214</v>
      </c>
      <c r="AA3" s="693" t="s">
        <v>215</v>
      </c>
      <c r="AB3" s="693"/>
      <c r="AC3" s="693"/>
      <c r="AD3" s="693"/>
      <c r="AE3" s="609" t="s">
        <v>216</v>
      </c>
      <c r="AF3" s="610"/>
      <c r="AG3" s="610"/>
      <c r="AH3" s="610"/>
      <c r="AI3" s="610"/>
      <c r="AJ3" s="610"/>
      <c r="AK3" s="675"/>
      <c r="AL3" s="609" t="s">
        <v>217</v>
      </c>
      <c r="AM3" s="675"/>
      <c r="AN3" s="676" t="s">
        <v>239</v>
      </c>
      <c r="AO3" s="676" t="s">
        <v>219</v>
      </c>
      <c r="AQ3" s="664"/>
      <c r="AR3" s="664"/>
      <c r="AS3" s="664"/>
      <c r="AT3" s="664"/>
      <c r="AU3" s="664"/>
      <c r="AV3" s="664"/>
      <c r="AW3" s="664"/>
      <c r="AX3" s="664"/>
      <c r="AY3" s="664"/>
    </row>
    <row r="4" spans="1:99" ht="16.5" thickTop="1" thickBot="1" x14ac:dyDescent="0.3">
      <c r="A4" s="694" t="s">
        <v>70</v>
      </c>
      <c r="B4" s="695"/>
      <c r="C4" s="696"/>
      <c r="D4" s="64"/>
      <c r="K4" s="667"/>
      <c r="L4" s="667"/>
      <c r="M4" s="667"/>
      <c r="N4" s="667"/>
      <c r="P4" s="669"/>
      <c r="Q4" s="669"/>
      <c r="R4" s="669"/>
      <c r="S4" s="669"/>
      <c r="T4" s="669"/>
      <c r="U4" s="669"/>
      <c r="V4" s="669"/>
      <c r="W4" s="669"/>
      <c r="Y4" s="574"/>
      <c r="Z4" s="574"/>
      <c r="AA4" s="676" t="s">
        <v>254</v>
      </c>
      <c r="AB4" s="676" t="s">
        <v>221</v>
      </c>
      <c r="AC4" s="574" t="s">
        <v>222</v>
      </c>
      <c r="AD4" s="574" t="s">
        <v>223</v>
      </c>
      <c r="AE4" s="693" t="s">
        <v>224</v>
      </c>
      <c r="AF4" s="693"/>
      <c r="AG4" s="693" t="s">
        <v>225</v>
      </c>
      <c r="AH4" s="693"/>
      <c r="AI4" s="693"/>
      <c r="AJ4" s="693"/>
      <c r="AK4" s="574" t="s">
        <v>226</v>
      </c>
      <c r="AL4" s="693" t="s">
        <v>227</v>
      </c>
      <c r="AM4" s="693" t="s">
        <v>228</v>
      </c>
      <c r="AN4" s="677"/>
      <c r="AO4" s="677"/>
      <c r="AQ4" s="665"/>
      <c r="AR4" s="665"/>
      <c r="AS4" s="665"/>
      <c r="AT4" s="665"/>
      <c r="AU4" s="665"/>
      <c r="AV4" s="665"/>
      <c r="AW4" s="665"/>
      <c r="AX4" s="665"/>
      <c r="AY4" s="665"/>
    </row>
    <row r="5" spans="1:99" ht="31.5" thickTop="1" thickBot="1" x14ac:dyDescent="0.3">
      <c r="A5" s="71" t="s">
        <v>6</v>
      </c>
      <c r="B5" s="71" t="s">
        <v>50</v>
      </c>
      <c r="C5" s="111" t="s">
        <v>51</v>
      </c>
      <c r="E5" s="211" t="s">
        <v>58</v>
      </c>
      <c r="F5" s="212"/>
      <c r="K5" s="210" t="s">
        <v>55</v>
      </c>
      <c r="L5" s="210" t="s">
        <v>54</v>
      </c>
      <c r="M5" s="213" t="s">
        <v>168</v>
      </c>
      <c r="N5" s="214" t="s">
        <v>255</v>
      </c>
      <c r="O5" s="29"/>
      <c r="P5" s="210" t="s">
        <v>188</v>
      </c>
      <c r="Q5" s="210" t="s">
        <v>206</v>
      </c>
      <c r="R5" s="210" t="s">
        <v>207</v>
      </c>
      <c r="S5" s="210" t="s">
        <v>208</v>
      </c>
      <c r="T5" s="210" t="s">
        <v>209</v>
      </c>
      <c r="U5" s="214" t="s">
        <v>257</v>
      </c>
      <c r="V5" s="214" t="s">
        <v>256</v>
      </c>
      <c r="W5" s="210" t="s">
        <v>212</v>
      </c>
      <c r="Y5" s="574"/>
      <c r="Z5" s="574"/>
      <c r="AA5" s="679"/>
      <c r="AB5" s="679"/>
      <c r="AC5" s="693"/>
      <c r="AD5" s="693"/>
      <c r="AE5" s="214" t="s">
        <v>249</v>
      </c>
      <c r="AF5" s="214" t="s">
        <v>252</v>
      </c>
      <c r="AG5" s="210" t="s">
        <v>229</v>
      </c>
      <c r="AH5" s="214" t="s">
        <v>250</v>
      </c>
      <c r="AI5" s="214" t="s">
        <v>251</v>
      </c>
      <c r="AJ5" s="214" t="s">
        <v>253</v>
      </c>
      <c r="AK5" s="574"/>
      <c r="AL5" s="693"/>
      <c r="AM5" s="693"/>
      <c r="AN5" s="678"/>
      <c r="AO5" s="678"/>
      <c r="AQ5" s="210" t="s">
        <v>188</v>
      </c>
      <c r="AR5" s="215" t="s">
        <v>237</v>
      </c>
      <c r="AS5" s="214" t="s">
        <v>238</v>
      </c>
      <c r="AT5" s="214" t="s">
        <v>239</v>
      </c>
      <c r="AU5" s="214" t="s">
        <v>240</v>
      </c>
      <c r="AV5" s="214" t="s">
        <v>258</v>
      </c>
      <c r="AW5" s="210" t="s">
        <v>91</v>
      </c>
      <c r="AX5" s="214" t="s">
        <v>259</v>
      </c>
      <c r="AY5" s="399" t="s">
        <v>243</v>
      </c>
    </row>
    <row r="6" spans="1:99" ht="20.25" customHeight="1" thickTop="1" x14ac:dyDescent="0.3">
      <c r="A6" s="2" t="s">
        <v>7</v>
      </c>
      <c r="B6" s="5" t="s">
        <v>8</v>
      </c>
      <c r="C6" s="51">
        <f>'Input sheet'!E8</f>
        <v>8125</v>
      </c>
      <c r="E6" s="216" t="s">
        <v>56</v>
      </c>
      <c r="F6" s="217" t="s">
        <v>308</v>
      </c>
      <c r="I6" s="17"/>
      <c r="K6" s="216" t="s">
        <v>26</v>
      </c>
      <c r="L6" s="104" t="s">
        <v>105</v>
      </c>
      <c r="M6" s="218">
        <f>C9*(C10+C11)</f>
        <v>51046875</v>
      </c>
      <c r="N6" s="702">
        <f>SUM(M6:M13)</f>
        <v>830312500</v>
      </c>
      <c r="P6" s="219" t="s">
        <v>26</v>
      </c>
      <c r="Q6" s="44">
        <f>$C$32</f>
        <v>15</v>
      </c>
      <c r="R6" s="44">
        <f>$C$32</f>
        <v>15</v>
      </c>
      <c r="S6" s="44">
        <v>10</v>
      </c>
      <c r="T6" s="44">
        <f>SQRT(Q6^2 + R6^2 - 2 * Q6 * R6 * COS(RADIANS(S6))) / 2</f>
        <v>1.3073361412148754</v>
      </c>
      <c r="U6" s="44">
        <f>(T6/67.29)^3.79</f>
        <v>3.259682051177461E-7</v>
      </c>
      <c r="V6" s="45">
        <f t="shared" ref="V6:V37" si="0">(U6+U6)-(U6*U6)</f>
        <v>6.519363039802215E-7</v>
      </c>
      <c r="W6" s="703">
        <f>AVERAGE(V6:V13)</f>
        <v>2.6818053976420545E-3</v>
      </c>
      <c r="Y6" s="220" t="s">
        <v>26</v>
      </c>
      <c r="Z6" s="221" t="s">
        <v>231</v>
      </c>
      <c r="AA6" s="222" t="s">
        <v>246</v>
      </c>
      <c r="AB6" s="222">
        <f>IF(TRIM(AA6)="Permitted or yield control",1, IF(TRIM(AA6)="Protected",0.01, 1))</f>
        <v>1</v>
      </c>
      <c r="AC6" s="222">
        <v>0.5</v>
      </c>
      <c r="AD6" s="222">
        <f t="shared" ref="AD6:AD37" si="1">AB6+((1-AC6)*(1-AB6))</f>
        <v>1</v>
      </c>
      <c r="AE6" s="222" t="s">
        <v>242</v>
      </c>
      <c r="AF6" s="222">
        <v>0</v>
      </c>
      <c r="AG6" s="222">
        <v>0</v>
      </c>
      <c r="AH6" s="222" t="s">
        <v>242</v>
      </c>
      <c r="AI6" s="222">
        <v>0</v>
      </c>
      <c r="AJ6" s="222">
        <v>0</v>
      </c>
      <c r="AK6" s="222">
        <f>IF(Z6="D",1,AF6+AJ6)</f>
        <v>1</v>
      </c>
      <c r="AL6" s="222" t="str">
        <f t="shared" ref="AL6:AL37" si="2">IF(Z6="D","NA",$C$29)</f>
        <v>NA</v>
      </c>
      <c r="AM6" s="222">
        <f>IF(Z6="D", 1, 1-(((60-AL6)/60)*(0.1/0.15)))</f>
        <v>1</v>
      </c>
      <c r="AN6" s="223">
        <f t="shared" ref="AN6:AN37" si="3">IF(Z6="D",1,AD6*AK6*AM6)</f>
        <v>1</v>
      </c>
      <c r="AO6" s="672">
        <f>AVERAGE(AN6:AN13)</f>
        <v>1</v>
      </c>
      <c r="AP6" s="224"/>
      <c r="AQ6" s="219" t="s">
        <v>26</v>
      </c>
      <c r="AR6" s="225">
        <f>M6</f>
        <v>51046875</v>
      </c>
      <c r="AS6" s="225">
        <f>V6</f>
        <v>6.519363039802215E-7</v>
      </c>
      <c r="AT6" s="225">
        <f>AN6</f>
        <v>1</v>
      </c>
      <c r="AU6" s="225">
        <v>1</v>
      </c>
      <c r="AV6" s="225">
        <f>AR6*AS6*AT6*AU6</f>
        <v>33.279311017240367</v>
      </c>
      <c r="AW6" s="460">
        <f>SUM(AV6:AV13)</f>
        <v>3763395.4401546489</v>
      </c>
      <c r="AX6" s="460">
        <f>100*EXP((-1/13700000)*AW6)</f>
        <v>75.979972733596554</v>
      </c>
      <c r="AY6" s="623">
        <f>100*EXP((-1/13700000)*((AW14+AW22+AW6)/3))</f>
        <v>6.1754587307298294</v>
      </c>
    </row>
    <row r="7" spans="1:99" ht="18.75" customHeight="1" x14ac:dyDescent="0.3">
      <c r="A7" s="3"/>
      <c r="B7" s="6" t="s">
        <v>9</v>
      </c>
      <c r="C7" s="52">
        <f>'Input sheet'!E9</f>
        <v>16250</v>
      </c>
      <c r="E7" s="110" t="s">
        <v>56</v>
      </c>
      <c r="F7" s="226" t="s">
        <v>309</v>
      </c>
      <c r="I7" s="17"/>
      <c r="K7" s="227" t="s">
        <v>27</v>
      </c>
      <c r="L7" s="109" t="s">
        <v>106</v>
      </c>
      <c r="M7" s="228">
        <f>C10*C11</f>
        <v>34031250</v>
      </c>
      <c r="N7" s="671"/>
      <c r="P7" s="229" t="s">
        <v>27</v>
      </c>
      <c r="Q7" s="45">
        <f>$C$32</f>
        <v>15</v>
      </c>
      <c r="R7" s="45">
        <f>$C$32</f>
        <v>15</v>
      </c>
      <c r="S7" s="45">
        <v>10</v>
      </c>
      <c r="T7" s="45">
        <f t="shared" ref="T7:T37" si="4">SQRT(Q7^2 + R7^2 - 2 * Q7 * R7 * COS(RADIANS(S7))) / 2</f>
        <v>1.3073361412148754</v>
      </c>
      <c r="U7" s="45">
        <f>(T7/67.29)^3.79</f>
        <v>3.259682051177461E-7</v>
      </c>
      <c r="V7" s="45">
        <f t="shared" si="0"/>
        <v>6.519363039802215E-7</v>
      </c>
      <c r="W7" s="704"/>
      <c r="Y7" s="230" t="s">
        <v>27</v>
      </c>
      <c r="Z7" s="231" t="s">
        <v>231</v>
      </c>
      <c r="AA7" s="232" t="s">
        <v>246</v>
      </c>
      <c r="AB7" s="232">
        <f t="shared" ref="AB7:AB37" si="5">IF(TRIM(AA7)="Permitted or yield control",1, IF(TRIM(AA7)="Protected",0.01, 1))</f>
        <v>1</v>
      </c>
      <c r="AC7" s="232">
        <v>0.5</v>
      </c>
      <c r="AD7" s="232">
        <f t="shared" si="1"/>
        <v>1</v>
      </c>
      <c r="AE7" s="232" t="s">
        <v>242</v>
      </c>
      <c r="AF7" s="232">
        <v>0</v>
      </c>
      <c r="AG7" s="232">
        <v>0</v>
      </c>
      <c r="AH7" s="232" t="s">
        <v>242</v>
      </c>
      <c r="AI7" s="232">
        <v>0</v>
      </c>
      <c r="AJ7" s="232">
        <f t="shared" ref="AJ7:AJ37" si="6">IF(AG7=0, 0, IF(AI7=1, 1, IF(AI7=2, 1*(1+0.75), 1*(1+0.75+0.5*(AI7-2)))))</f>
        <v>0</v>
      </c>
      <c r="AK7" s="232">
        <f t="shared" ref="AK7:AK37" si="7">IF(Z7="D",1,AF7+AJ7)</f>
        <v>1</v>
      </c>
      <c r="AL7" s="232" t="str">
        <f t="shared" si="2"/>
        <v>NA</v>
      </c>
      <c r="AM7" s="232">
        <f t="shared" ref="AM7:AM37" si="8">IF(Z7="D", 1, 1-(((60-AL7)/60)*(0.1/0.15)))</f>
        <v>1</v>
      </c>
      <c r="AN7" s="233">
        <f t="shared" si="3"/>
        <v>1</v>
      </c>
      <c r="AO7" s="673"/>
      <c r="AP7" s="224"/>
      <c r="AQ7" s="229" t="s">
        <v>27</v>
      </c>
      <c r="AR7" s="234">
        <f t="shared" ref="AR7:AR37" si="9">M7</f>
        <v>34031250</v>
      </c>
      <c r="AS7" s="234">
        <f t="shared" ref="AS7:AS37" si="10">V7</f>
        <v>6.519363039802215E-7</v>
      </c>
      <c r="AT7" s="234">
        <f t="shared" ref="AT7:AT37" si="11">AN7</f>
        <v>1</v>
      </c>
      <c r="AU7" s="234">
        <v>1</v>
      </c>
      <c r="AV7" s="234">
        <f t="shared" ref="AV7:AV37" si="12">AR7*AS7*AT7*AU7</f>
        <v>22.186207344826911</v>
      </c>
      <c r="AW7" s="671"/>
      <c r="AX7" s="671"/>
      <c r="AY7" s="624"/>
    </row>
    <row r="8" spans="1:99" ht="19.5" thickBot="1" x14ac:dyDescent="0.35">
      <c r="A8" s="4"/>
      <c r="B8" s="7" t="s">
        <v>10</v>
      </c>
      <c r="C8" s="53">
        <f>'Input sheet'!E10</f>
        <v>8125</v>
      </c>
      <c r="E8" s="235" t="s">
        <v>57</v>
      </c>
      <c r="F8" s="236" t="s">
        <v>310</v>
      </c>
      <c r="I8" s="17"/>
      <c r="K8" s="237" t="s">
        <v>22</v>
      </c>
      <c r="L8" s="109" t="s">
        <v>107</v>
      </c>
      <c r="M8" s="228">
        <f>C12*(C13+C14)</f>
        <v>198046875</v>
      </c>
      <c r="N8" s="671"/>
      <c r="P8" s="238" t="s">
        <v>22</v>
      </c>
      <c r="Q8" s="45">
        <f>$C$29</f>
        <v>45</v>
      </c>
      <c r="R8" s="45">
        <f>$C$31</f>
        <v>15</v>
      </c>
      <c r="S8" s="45">
        <v>10</v>
      </c>
      <c r="T8" s="45">
        <f t="shared" si="4"/>
        <v>15.169950011729762</v>
      </c>
      <c r="U8" s="45">
        <f t="shared" ref="U8:U37" si="13">(T8/67.29)^3.79</f>
        <v>3.5318107578168117E-3</v>
      </c>
      <c r="V8" s="45">
        <f t="shared" si="0"/>
        <v>7.051147828404593E-3</v>
      </c>
      <c r="W8" s="704"/>
      <c r="Y8" s="239" t="s">
        <v>22</v>
      </c>
      <c r="Z8" s="231" t="s">
        <v>231</v>
      </c>
      <c r="AA8" s="232" t="s">
        <v>246</v>
      </c>
      <c r="AB8" s="232">
        <f t="shared" si="5"/>
        <v>1</v>
      </c>
      <c r="AC8" s="232">
        <v>0.5</v>
      </c>
      <c r="AD8" s="232">
        <f t="shared" si="1"/>
        <v>1</v>
      </c>
      <c r="AE8" s="232" t="s">
        <v>242</v>
      </c>
      <c r="AF8" s="232">
        <v>0</v>
      </c>
      <c r="AG8" s="232">
        <v>0</v>
      </c>
      <c r="AH8" s="232" t="s">
        <v>242</v>
      </c>
      <c r="AI8" s="232">
        <v>0</v>
      </c>
      <c r="AJ8" s="232">
        <f t="shared" si="6"/>
        <v>0</v>
      </c>
      <c r="AK8" s="232">
        <f t="shared" si="7"/>
        <v>1</v>
      </c>
      <c r="AL8" s="232" t="str">
        <f t="shared" si="2"/>
        <v>NA</v>
      </c>
      <c r="AM8" s="232">
        <f t="shared" si="8"/>
        <v>1</v>
      </c>
      <c r="AN8" s="233">
        <f t="shared" si="3"/>
        <v>1</v>
      </c>
      <c r="AO8" s="673"/>
      <c r="AP8" s="224"/>
      <c r="AQ8" s="238" t="s">
        <v>22</v>
      </c>
      <c r="AR8" s="234">
        <f t="shared" si="9"/>
        <v>198046875</v>
      </c>
      <c r="AS8" s="234">
        <f t="shared" si="10"/>
        <v>7.051147828404593E-3</v>
      </c>
      <c r="AT8" s="234">
        <f t="shared" si="11"/>
        <v>1</v>
      </c>
      <c r="AU8" s="234">
        <v>1</v>
      </c>
      <c r="AV8" s="234">
        <f t="shared" si="12"/>
        <v>1396457.7925785659</v>
      </c>
      <c r="AW8" s="671"/>
      <c r="AX8" s="671"/>
      <c r="AY8" s="624"/>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row>
    <row r="9" spans="1:99" ht="19.5" thickTop="1" x14ac:dyDescent="0.3">
      <c r="A9" s="2" t="s">
        <v>23</v>
      </c>
      <c r="B9" s="5" t="s">
        <v>14</v>
      </c>
      <c r="C9" s="54">
        <f>'Input sheet'!E11</f>
        <v>4125</v>
      </c>
      <c r="E9" s="240"/>
      <c r="F9" s="17"/>
      <c r="G9" s="17"/>
      <c r="H9" s="17"/>
      <c r="I9" s="17"/>
      <c r="K9" s="237" t="s">
        <v>20</v>
      </c>
      <c r="L9" s="109" t="s">
        <v>108</v>
      </c>
      <c r="M9" s="228">
        <f>C13*C14</f>
        <v>132031250</v>
      </c>
      <c r="N9" s="671"/>
      <c r="P9" s="238" t="s">
        <v>20</v>
      </c>
      <c r="Q9" s="45">
        <f>$C$29</f>
        <v>45</v>
      </c>
      <c r="R9" s="45">
        <f>$C$30</f>
        <v>20</v>
      </c>
      <c r="S9" s="45">
        <v>10</v>
      </c>
      <c r="T9" s="45">
        <f t="shared" si="4"/>
        <v>12.77053292327718</v>
      </c>
      <c r="U9" s="45">
        <f t="shared" si="13"/>
        <v>1.8390760451277139E-3</v>
      </c>
      <c r="V9" s="45">
        <f t="shared" si="0"/>
        <v>3.6747698895556653E-3</v>
      </c>
      <c r="W9" s="704"/>
      <c r="Y9" s="239" t="s">
        <v>20</v>
      </c>
      <c r="Z9" s="231" t="s">
        <v>231</v>
      </c>
      <c r="AA9" s="232" t="s">
        <v>246</v>
      </c>
      <c r="AB9" s="232">
        <f t="shared" si="5"/>
        <v>1</v>
      </c>
      <c r="AC9" s="232">
        <v>0.5</v>
      </c>
      <c r="AD9" s="232">
        <f t="shared" si="1"/>
        <v>1</v>
      </c>
      <c r="AE9" s="232" t="s">
        <v>242</v>
      </c>
      <c r="AF9" s="232">
        <v>0</v>
      </c>
      <c r="AG9" s="232">
        <v>0</v>
      </c>
      <c r="AH9" s="232" t="s">
        <v>242</v>
      </c>
      <c r="AI9" s="232">
        <v>0</v>
      </c>
      <c r="AJ9" s="232">
        <f t="shared" si="6"/>
        <v>0</v>
      </c>
      <c r="AK9" s="232">
        <f t="shared" si="7"/>
        <v>1</v>
      </c>
      <c r="AL9" s="232" t="str">
        <f t="shared" si="2"/>
        <v>NA</v>
      </c>
      <c r="AM9" s="232">
        <f t="shared" si="8"/>
        <v>1</v>
      </c>
      <c r="AN9" s="233">
        <f t="shared" si="3"/>
        <v>1</v>
      </c>
      <c r="AO9" s="673"/>
      <c r="AP9" s="224"/>
      <c r="AQ9" s="238" t="s">
        <v>20</v>
      </c>
      <c r="AR9" s="234">
        <f t="shared" si="9"/>
        <v>132031250</v>
      </c>
      <c r="AS9" s="234">
        <f t="shared" si="10"/>
        <v>3.6747698895556653E-3</v>
      </c>
      <c r="AT9" s="234">
        <f t="shared" si="11"/>
        <v>1</v>
      </c>
      <c r="AU9" s="234">
        <v>1</v>
      </c>
      <c r="AV9" s="234">
        <f t="shared" si="12"/>
        <v>485184.46198039642</v>
      </c>
      <c r="AW9" s="671"/>
      <c r="AX9" s="671"/>
      <c r="AY9" s="624"/>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row>
    <row r="10" spans="1:99" ht="19.5" customHeight="1" x14ac:dyDescent="0.3">
      <c r="A10" s="3"/>
      <c r="B10" s="6" t="s">
        <v>15</v>
      </c>
      <c r="C10" s="52">
        <f>'Input sheet'!E12</f>
        <v>8250</v>
      </c>
      <c r="K10" s="237" t="s">
        <v>28</v>
      </c>
      <c r="L10" s="109" t="s">
        <v>109</v>
      </c>
      <c r="M10" s="228">
        <f>C15*(C16+C17)</f>
        <v>51046875</v>
      </c>
      <c r="N10" s="671"/>
      <c r="P10" s="238" t="s">
        <v>28</v>
      </c>
      <c r="Q10" s="45">
        <f>$C$32</f>
        <v>15</v>
      </c>
      <c r="R10" s="45">
        <f>$C$32</f>
        <v>15</v>
      </c>
      <c r="S10" s="45">
        <v>10</v>
      </c>
      <c r="T10" s="45">
        <f t="shared" si="4"/>
        <v>1.3073361412148754</v>
      </c>
      <c r="U10" s="45">
        <f t="shared" si="13"/>
        <v>3.259682051177461E-7</v>
      </c>
      <c r="V10" s="45">
        <f t="shared" si="0"/>
        <v>6.519363039802215E-7</v>
      </c>
      <c r="W10" s="704"/>
      <c r="Y10" s="239" t="s">
        <v>28</v>
      </c>
      <c r="Z10" s="231" t="s">
        <v>231</v>
      </c>
      <c r="AA10" s="232" t="s">
        <v>246</v>
      </c>
      <c r="AB10" s="232">
        <f t="shared" si="5"/>
        <v>1</v>
      </c>
      <c r="AC10" s="232">
        <v>0.5</v>
      </c>
      <c r="AD10" s="232">
        <f t="shared" si="1"/>
        <v>1</v>
      </c>
      <c r="AE10" s="232" t="s">
        <v>242</v>
      </c>
      <c r="AF10" s="232">
        <v>0</v>
      </c>
      <c r="AG10" s="232">
        <v>0</v>
      </c>
      <c r="AH10" s="232" t="s">
        <v>242</v>
      </c>
      <c r="AI10" s="232">
        <v>0</v>
      </c>
      <c r="AJ10" s="232">
        <f t="shared" si="6"/>
        <v>0</v>
      </c>
      <c r="AK10" s="232">
        <f t="shared" si="7"/>
        <v>1</v>
      </c>
      <c r="AL10" s="232" t="str">
        <f t="shared" si="2"/>
        <v>NA</v>
      </c>
      <c r="AM10" s="232">
        <f t="shared" si="8"/>
        <v>1</v>
      </c>
      <c r="AN10" s="233">
        <f t="shared" si="3"/>
        <v>1</v>
      </c>
      <c r="AO10" s="673"/>
      <c r="AP10" s="224"/>
      <c r="AQ10" s="238" t="s">
        <v>28</v>
      </c>
      <c r="AR10" s="234">
        <f t="shared" si="9"/>
        <v>51046875</v>
      </c>
      <c r="AS10" s="234">
        <f t="shared" si="10"/>
        <v>6.519363039802215E-7</v>
      </c>
      <c r="AT10" s="234">
        <f t="shared" si="11"/>
        <v>1</v>
      </c>
      <c r="AU10" s="234">
        <v>1</v>
      </c>
      <c r="AV10" s="234">
        <f t="shared" si="12"/>
        <v>33.279311017240367</v>
      </c>
      <c r="AW10" s="671"/>
      <c r="AX10" s="671"/>
      <c r="AY10" s="624"/>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row>
    <row r="11" spans="1:99" ht="19.5" thickBot="1" x14ac:dyDescent="0.35">
      <c r="A11" s="4"/>
      <c r="B11" s="7" t="s">
        <v>16</v>
      </c>
      <c r="C11" s="53">
        <f>'Input sheet'!E13</f>
        <v>4125</v>
      </c>
      <c r="K11" s="237" t="s">
        <v>21</v>
      </c>
      <c r="L11" s="109" t="s">
        <v>110</v>
      </c>
      <c r="M11" s="228">
        <f>C16*C17</f>
        <v>34031250</v>
      </c>
      <c r="N11" s="671"/>
      <c r="P11" s="238" t="s">
        <v>21</v>
      </c>
      <c r="Q11" s="45">
        <f>$C$32</f>
        <v>15</v>
      </c>
      <c r="R11" s="45">
        <f>$C$32</f>
        <v>15</v>
      </c>
      <c r="S11" s="45">
        <v>10</v>
      </c>
      <c r="T11" s="45">
        <f t="shared" si="4"/>
        <v>1.3073361412148754</v>
      </c>
      <c r="U11" s="45">
        <f t="shared" si="13"/>
        <v>3.259682051177461E-7</v>
      </c>
      <c r="V11" s="45">
        <f t="shared" si="0"/>
        <v>6.519363039802215E-7</v>
      </c>
      <c r="W11" s="704"/>
      <c r="Y11" s="239" t="s">
        <v>21</v>
      </c>
      <c r="Z11" s="231" t="s">
        <v>231</v>
      </c>
      <c r="AA11" s="232" t="s">
        <v>246</v>
      </c>
      <c r="AB11" s="232">
        <f t="shared" si="5"/>
        <v>1</v>
      </c>
      <c r="AC11" s="232">
        <v>0.5</v>
      </c>
      <c r="AD11" s="232">
        <f t="shared" si="1"/>
        <v>1</v>
      </c>
      <c r="AE11" s="232" t="s">
        <v>242</v>
      </c>
      <c r="AF11" s="232">
        <v>0</v>
      </c>
      <c r="AG11" s="232">
        <v>0</v>
      </c>
      <c r="AH11" s="232" t="s">
        <v>242</v>
      </c>
      <c r="AI11" s="232">
        <v>0</v>
      </c>
      <c r="AJ11" s="232">
        <f t="shared" si="6"/>
        <v>0</v>
      </c>
      <c r="AK11" s="232">
        <f t="shared" si="7"/>
        <v>1</v>
      </c>
      <c r="AL11" s="232" t="str">
        <f t="shared" si="2"/>
        <v>NA</v>
      </c>
      <c r="AM11" s="232">
        <f t="shared" si="8"/>
        <v>1</v>
      </c>
      <c r="AN11" s="233">
        <f t="shared" si="3"/>
        <v>1</v>
      </c>
      <c r="AO11" s="673"/>
      <c r="AP11" s="224"/>
      <c r="AQ11" s="238" t="s">
        <v>21</v>
      </c>
      <c r="AR11" s="234">
        <f t="shared" si="9"/>
        <v>34031250</v>
      </c>
      <c r="AS11" s="234">
        <f t="shared" si="10"/>
        <v>6.519363039802215E-7</v>
      </c>
      <c r="AT11" s="234">
        <f t="shared" si="11"/>
        <v>1</v>
      </c>
      <c r="AU11" s="234">
        <v>1</v>
      </c>
      <c r="AV11" s="234">
        <f t="shared" si="12"/>
        <v>22.186207344826911</v>
      </c>
      <c r="AW11" s="671"/>
      <c r="AX11" s="671"/>
      <c r="AY11" s="624"/>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row>
    <row r="12" spans="1:99" ht="19.5" thickTop="1" x14ac:dyDescent="0.3">
      <c r="A12" s="2" t="s">
        <v>24</v>
      </c>
      <c r="B12" s="5" t="s">
        <v>11</v>
      </c>
      <c r="C12" s="54">
        <f>'Input sheet'!E14</f>
        <v>8125</v>
      </c>
      <c r="K12" s="237" t="s">
        <v>29</v>
      </c>
      <c r="L12" s="109" t="s">
        <v>111</v>
      </c>
      <c r="M12" s="228">
        <f>C6*(C7+C8)</f>
        <v>198046875</v>
      </c>
      <c r="N12" s="671"/>
      <c r="P12" s="238" t="s">
        <v>29</v>
      </c>
      <c r="Q12" s="45">
        <f>$C$29</f>
        <v>45</v>
      </c>
      <c r="R12" s="45">
        <f>$C$31</f>
        <v>15</v>
      </c>
      <c r="S12" s="45">
        <v>10</v>
      </c>
      <c r="T12" s="45">
        <f t="shared" si="4"/>
        <v>15.169950011729762</v>
      </c>
      <c r="U12" s="45">
        <f t="shared" si="13"/>
        <v>3.5318107578168117E-3</v>
      </c>
      <c r="V12" s="45">
        <f t="shared" si="0"/>
        <v>7.051147828404593E-3</v>
      </c>
      <c r="W12" s="704"/>
      <c r="Y12" s="239" t="s">
        <v>29</v>
      </c>
      <c r="Z12" s="231" t="s">
        <v>231</v>
      </c>
      <c r="AA12" s="232" t="s">
        <v>246</v>
      </c>
      <c r="AB12" s="232">
        <f t="shared" si="5"/>
        <v>1</v>
      </c>
      <c r="AC12" s="232">
        <v>0.5</v>
      </c>
      <c r="AD12" s="232">
        <f t="shared" si="1"/>
        <v>1</v>
      </c>
      <c r="AE12" s="232" t="s">
        <v>242</v>
      </c>
      <c r="AF12" s="232">
        <v>0</v>
      </c>
      <c r="AG12" s="232">
        <v>0</v>
      </c>
      <c r="AH12" s="232" t="s">
        <v>242</v>
      </c>
      <c r="AI12" s="232">
        <v>0</v>
      </c>
      <c r="AJ12" s="232">
        <f t="shared" si="6"/>
        <v>0</v>
      </c>
      <c r="AK12" s="232">
        <f t="shared" si="7"/>
        <v>1</v>
      </c>
      <c r="AL12" s="232" t="str">
        <f t="shared" si="2"/>
        <v>NA</v>
      </c>
      <c r="AM12" s="232">
        <f t="shared" si="8"/>
        <v>1</v>
      </c>
      <c r="AN12" s="233">
        <f t="shared" si="3"/>
        <v>1</v>
      </c>
      <c r="AO12" s="673"/>
      <c r="AP12" s="224"/>
      <c r="AQ12" s="238" t="s">
        <v>29</v>
      </c>
      <c r="AR12" s="234">
        <f t="shared" si="9"/>
        <v>198046875</v>
      </c>
      <c r="AS12" s="234">
        <f t="shared" si="10"/>
        <v>7.051147828404593E-3</v>
      </c>
      <c r="AT12" s="234">
        <f t="shared" si="11"/>
        <v>1</v>
      </c>
      <c r="AU12" s="234">
        <v>1</v>
      </c>
      <c r="AV12" s="234">
        <f t="shared" si="12"/>
        <v>1396457.7925785659</v>
      </c>
      <c r="AW12" s="671"/>
      <c r="AX12" s="671"/>
      <c r="AY12" s="624"/>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row>
    <row r="13" spans="1:99" ht="20.25" customHeight="1" thickBot="1" x14ac:dyDescent="0.35">
      <c r="A13" s="3"/>
      <c r="B13" s="6" t="s">
        <v>12</v>
      </c>
      <c r="C13" s="52">
        <f>'Input sheet'!E15</f>
        <v>16250</v>
      </c>
      <c r="F13" s="98"/>
      <c r="H13" s="243"/>
      <c r="I13" s="243"/>
      <c r="K13" s="244" t="s">
        <v>30</v>
      </c>
      <c r="L13" s="105" t="s">
        <v>112</v>
      </c>
      <c r="M13" s="245">
        <f>C7*C8</f>
        <v>132031250</v>
      </c>
      <c r="N13" s="461"/>
      <c r="P13" s="246" t="s">
        <v>30</v>
      </c>
      <c r="Q13" s="46">
        <f>$C$29</f>
        <v>45</v>
      </c>
      <c r="R13" s="46">
        <f>$C$30</f>
        <v>20</v>
      </c>
      <c r="S13" s="46">
        <v>10</v>
      </c>
      <c r="T13" s="46">
        <f t="shared" si="4"/>
        <v>12.77053292327718</v>
      </c>
      <c r="U13" s="46">
        <f t="shared" si="13"/>
        <v>1.8390760451277139E-3</v>
      </c>
      <c r="V13" s="46">
        <f t="shared" si="0"/>
        <v>3.6747698895556653E-3</v>
      </c>
      <c r="W13" s="705"/>
      <c r="Y13" s="247" t="s">
        <v>30</v>
      </c>
      <c r="Z13" s="248" t="s">
        <v>231</v>
      </c>
      <c r="AA13" s="249" t="s">
        <v>246</v>
      </c>
      <c r="AB13" s="249">
        <f t="shared" si="5"/>
        <v>1</v>
      </c>
      <c r="AC13" s="249">
        <v>0.5</v>
      </c>
      <c r="AD13" s="249">
        <f t="shared" si="1"/>
        <v>1</v>
      </c>
      <c r="AE13" s="249" t="s">
        <v>242</v>
      </c>
      <c r="AF13" s="249">
        <v>0</v>
      </c>
      <c r="AG13" s="249">
        <v>0</v>
      </c>
      <c r="AH13" s="249" t="s">
        <v>242</v>
      </c>
      <c r="AI13" s="249">
        <v>0</v>
      </c>
      <c r="AJ13" s="249">
        <f t="shared" si="6"/>
        <v>0</v>
      </c>
      <c r="AK13" s="249">
        <f t="shared" si="7"/>
        <v>1</v>
      </c>
      <c r="AL13" s="249" t="str">
        <f t="shared" si="2"/>
        <v>NA</v>
      </c>
      <c r="AM13" s="249">
        <f t="shared" si="8"/>
        <v>1</v>
      </c>
      <c r="AN13" s="250">
        <f t="shared" si="3"/>
        <v>1</v>
      </c>
      <c r="AO13" s="674"/>
      <c r="AP13" s="224"/>
      <c r="AQ13" s="246" t="s">
        <v>30</v>
      </c>
      <c r="AR13" s="251">
        <f t="shared" si="9"/>
        <v>132031250</v>
      </c>
      <c r="AS13" s="251">
        <f t="shared" si="10"/>
        <v>3.6747698895556653E-3</v>
      </c>
      <c r="AT13" s="251">
        <f t="shared" si="11"/>
        <v>1</v>
      </c>
      <c r="AU13" s="251">
        <v>1</v>
      </c>
      <c r="AV13" s="251">
        <f t="shared" si="12"/>
        <v>485184.46198039642</v>
      </c>
      <c r="AW13" s="461"/>
      <c r="AX13" s="461"/>
      <c r="AY13" s="624"/>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row>
    <row r="14" spans="1:99" ht="20.25" thickTop="1" thickBot="1" x14ac:dyDescent="0.35">
      <c r="A14" s="4"/>
      <c r="B14" s="7" t="s">
        <v>13</v>
      </c>
      <c r="C14" s="53">
        <f>'Input sheet'!E16</f>
        <v>8125</v>
      </c>
      <c r="F14" s="98"/>
      <c r="H14" s="252"/>
      <c r="I14" s="252"/>
      <c r="K14" s="253" t="s">
        <v>26</v>
      </c>
      <c r="L14" s="104" t="s">
        <v>113</v>
      </c>
      <c r="M14" s="218">
        <f>C7*C17</f>
        <v>67031250</v>
      </c>
      <c r="N14" s="702">
        <f>SUM(M14:M21)</f>
        <v>702312500</v>
      </c>
      <c r="P14" s="254" t="s">
        <v>26</v>
      </c>
      <c r="Q14" s="44">
        <f>$C$29</f>
        <v>45</v>
      </c>
      <c r="R14" s="44">
        <f>$C$33</f>
        <v>25</v>
      </c>
      <c r="S14" s="44">
        <v>45</v>
      </c>
      <c r="T14" s="44">
        <f t="shared" si="4"/>
        <v>16.271214938736659</v>
      </c>
      <c r="U14" s="44">
        <f t="shared" si="13"/>
        <v>4.6062682901169601E-3</v>
      </c>
      <c r="V14" s="44">
        <f t="shared" si="0"/>
        <v>9.1913188726733836E-3</v>
      </c>
      <c r="W14" s="460">
        <f>AVERAGE(V14:V21)</f>
        <v>6.1337802805268137E-3</v>
      </c>
      <c r="Y14" s="255" t="s">
        <v>26</v>
      </c>
      <c r="Z14" s="256" t="s">
        <v>232</v>
      </c>
      <c r="AA14" s="222" t="s">
        <v>195</v>
      </c>
      <c r="AB14" s="222">
        <f t="shared" si="5"/>
        <v>0.01</v>
      </c>
      <c r="AC14" s="222">
        <v>0.5</v>
      </c>
      <c r="AD14" s="222">
        <f t="shared" si="1"/>
        <v>0.505</v>
      </c>
      <c r="AE14" s="222" t="s">
        <v>44</v>
      </c>
      <c r="AF14" s="222">
        <f t="shared" ref="AF14:AF37" si="14">IF(ISNUMBER(SEARCH("EBT", AE14)),$C$22, 0) + IF(ISNUMBER(SEARCH("WBT", AE14)),$C$23, 0)+IF(ISNUMBER(SEARCH("NBT", AE14)),$C$24, 0) + IF(ISNUMBER(SEARCH("SBT", AE14)),$C$25, 0)</f>
        <v>3</v>
      </c>
      <c r="AG14" s="222">
        <v>1</v>
      </c>
      <c r="AH14" s="222" t="s">
        <v>9</v>
      </c>
      <c r="AI14" s="222">
        <f t="shared" ref="AI14:AI37" si="15">IF(ISNUMBER(SEARCH("EBT", AH14)),$C$22, 0) + IF(ISNUMBER(SEARCH("WBT", AH14)),$C$23, 0)+IF(ISNUMBER(SEARCH("NBT", AH14)),$C$24, 0) + IF(ISNUMBER(SEARCH("SBT", AH14)),$C$25, 0)</f>
        <v>2</v>
      </c>
      <c r="AJ14" s="222">
        <f t="shared" si="6"/>
        <v>1.75</v>
      </c>
      <c r="AK14" s="222">
        <f t="shared" si="7"/>
        <v>4.75</v>
      </c>
      <c r="AL14" s="222">
        <f t="shared" si="2"/>
        <v>45</v>
      </c>
      <c r="AM14" s="222">
        <f t="shared" si="8"/>
        <v>0.83333333333333326</v>
      </c>
      <c r="AN14" s="223">
        <f t="shared" si="3"/>
        <v>1.9989583333333334</v>
      </c>
      <c r="AO14" s="672">
        <f>AVERAGE(AN14:AN21)</f>
        <v>1.5255208333333334</v>
      </c>
      <c r="AP14" s="224"/>
      <c r="AQ14" s="257" t="s">
        <v>26</v>
      </c>
      <c r="AR14" s="258">
        <f t="shared" si="9"/>
        <v>67031250</v>
      </c>
      <c r="AS14" s="258">
        <f t="shared" si="10"/>
        <v>9.1913188726733836E-3</v>
      </c>
      <c r="AT14" s="258">
        <f t="shared" si="11"/>
        <v>1.9989583333333334</v>
      </c>
      <c r="AU14" s="258">
        <v>1</v>
      </c>
      <c r="AV14" s="258">
        <f t="shared" si="12"/>
        <v>1231569.4097082091</v>
      </c>
      <c r="AW14" s="460">
        <f>SUM(AV14:AV21)</f>
        <v>4767024.0110772438</v>
      </c>
      <c r="AX14" s="460">
        <f>100*EXP((-1/13700000)*AW14)</f>
        <v>70.612856334436529</v>
      </c>
      <c r="AY14" s="624"/>
    </row>
    <row r="15" spans="1:99" ht="19.5" thickTop="1" x14ac:dyDescent="0.3">
      <c r="A15" s="2" t="s">
        <v>25</v>
      </c>
      <c r="B15" s="5" t="s">
        <v>17</v>
      </c>
      <c r="C15" s="54">
        <f>'Input sheet'!E17</f>
        <v>4125</v>
      </c>
      <c r="K15" s="110" t="s">
        <v>27</v>
      </c>
      <c r="L15" s="109" t="s">
        <v>114</v>
      </c>
      <c r="M15" s="228">
        <f>C9*(C7+C17)</f>
        <v>84046875</v>
      </c>
      <c r="N15" s="671"/>
      <c r="P15" s="259" t="s">
        <v>27</v>
      </c>
      <c r="Q15" s="45">
        <f>$C$29</f>
        <v>45</v>
      </c>
      <c r="R15" s="45">
        <f>$C$31</f>
        <v>15</v>
      </c>
      <c r="S15" s="45">
        <v>45</v>
      </c>
      <c r="T15" s="45">
        <f t="shared" si="4"/>
        <v>17.995873453365363</v>
      </c>
      <c r="U15" s="45">
        <f t="shared" si="13"/>
        <v>6.7479662925189346E-3</v>
      </c>
      <c r="V15" s="45">
        <f t="shared" si="0"/>
        <v>1.3450397535952898E-2</v>
      </c>
      <c r="W15" s="671"/>
      <c r="Y15" s="260" t="s">
        <v>27</v>
      </c>
      <c r="Z15" s="231" t="s">
        <v>232</v>
      </c>
      <c r="AA15" s="232" t="s">
        <v>195</v>
      </c>
      <c r="AB15" s="232">
        <f t="shared" si="5"/>
        <v>0.01</v>
      </c>
      <c r="AC15" s="232">
        <v>0.5</v>
      </c>
      <c r="AD15" s="232">
        <f t="shared" si="1"/>
        <v>0.505</v>
      </c>
      <c r="AE15" s="232">
        <v>0</v>
      </c>
      <c r="AF15" s="232">
        <f t="shared" si="14"/>
        <v>0</v>
      </c>
      <c r="AG15" s="232">
        <v>1</v>
      </c>
      <c r="AH15" s="232" t="s">
        <v>9</v>
      </c>
      <c r="AI15" s="232">
        <f t="shared" si="15"/>
        <v>2</v>
      </c>
      <c r="AJ15" s="232">
        <f t="shared" si="6"/>
        <v>1.75</v>
      </c>
      <c r="AK15" s="232">
        <f t="shared" si="7"/>
        <v>1.75</v>
      </c>
      <c r="AL15" s="232">
        <f t="shared" si="2"/>
        <v>45</v>
      </c>
      <c r="AM15" s="232">
        <f t="shared" si="8"/>
        <v>0.83333333333333326</v>
      </c>
      <c r="AN15" s="233">
        <f t="shared" si="3"/>
        <v>0.73645833333333333</v>
      </c>
      <c r="AO15" s="673"/>
      <c r="AP15" s="224"/>
      <c r="AQ15" s="259" t="s">
        <v>27</v>
      </c>
      <c r="AR15" s="234">
        <f t="shared" si="9"/>
        <v>84046875</v>
      </c>
      <c r="AS15" s="234">
        <f t="shared" si="10"/>
        <v>1.3450397535952898E-2</v>
      </c>
      <c r="AT15" s="234">
        <f t="shared" si="11"/>
        <v>0.73645833333333333</v>
      </c>
      <c r="AU15" s="234">
        <v>1</v>
      </c>
      <c r="AV15" s="234">
        <f t="shared" si="12"/>
        <v>832539.54525626113</v>
      </c>
      <c r="AW15" s="671"/>
      <c r="AX15" s="671"/>
      <c r="AY15" s="624"/>
    </row>
    <row r="16" spans="1:99" ht="18.75" customHeight="1" x14ac:dyDescent="0.3">
      <c r="A16" s="3"/>
      <c r="B16" s="6" t="s">
        <v>18</v>
      </c>
      <c r="C16" s="52">
        <f>'Input sheet'!E18</f>
        <v>8250</v>
      </c>
      <c r="K16" s="110" t="s">
        <v>22</v>
      </c>
      <c r="L16" s="109" t="s">
        <v>115</v>
      </c>
      <c r="M16" s="228">
        <f>C10*C8</f>
        <v>67031250</v>
      </c>
      <c r="N16" s="671"/>
      <c r="P16" s="259" t="s">
        <v>22</v>
      </c>
      <c r="Q16" s="45">
        <f>$C$30</f>
        <v>20</v>
      </c>
      <c r="R16" s="45">
        <f>$C$33</f>
        <v>25</v>
      </c>
      <c r="S16" s="45">
        <v>45</v>
      </c>
      <c r="T16" s="45">
        <f t="shared" si="4"/>
        <v>8.9147801264732891</v>
      </c>
      <c r="U16" s="45">
        <f t="shared" si="13"/>
        <v>4.7096302149683109E-4</v>
      </c>
      <c r="V16" s="45">
        <f t="shared" si="0"/>
        <v>9.417042368260448E-4</v>
      </c>
      <c r="W16" s="671"/>
      <c r="Y16" s="260" t="s">
        <v>22</v>
      </c>
      <c r="Z16" s="231" t="s">
        <v>232</v>
      </c>
      <c r="AA16" s="232" t="s">
        <v>195</v>
      </c>
      <c r="AB16" s="232">
        <f t="shared" si="5"/>
        <v>0.01</v>
      </c>
      <c r="AC16" s="232">
        <v>0.5</v>
      </c>
      <c r="AD16" s="232">
        <f t="shared" si="1"/>
        <v>0.505</v>
      </c>
      <c r="AE16" s="232" t="s">
        <v>233</v>
      </c>
      <c r="AF16" s="232">
        <f t="shared" si="14"/>
        <v>4</v>
      </c>
      <c r="AG16" s="232">
        <v>0</v>
      </c>
      <c r="AH16" s="232" t="s">
        <v>15</v>
      </c>
      <c r="AI16" s="232">
        <f t="shared" si="15"/>
        <v>1</v>
      </c>
      <c r="AJ16" s="232">
        <f t="shared" si="6"/>
        <v>0</v>
      </c>
      <c r="AK16" s="232">
        <f t="shared" si="7"/>
        <v>4</v>
      </c>
      <c r="AL16" s="232">
        <f t="shared" si="2"/>
        <v>45</v>
      </c>
      <c r="AM16" s="232">
        <f t="shared" si="8"/>
        <v>0.83333333333333326</v>
      </c>
      <c r="AN16" s="233">
        <f t="shared" si="3"/>
        <v>1.6833333333333331</v>
      </c>
      <c r="AO16" s="673"/>
      <c r="AP16" s="224"/>
      <c r="AQ16" s="259" t="s">
        <v>22</v>
      </c>
      <c r="AR16" s="234">
        <f t="shared" si="9"/>
        <v>67031250</v>
      </c>
      <c r="AS16" s="234">
        <f t="shared" si="10"/>
        <v>9.417042368260448E-4</v>
      </c>
      <c r="AT16" s="234">
        <f t="shared" si="11"/>
        <v>1.6833333333333331</v>
      </c>
      <c r="AU16" s="234">
        <v>1</v>
      </c>
      <c r="AV16" s="234">
        <f t="shared" si="12"/>
        <v>106258.08040998878</v>
      </c>
      <c r="AW16" s="671"/>
      <c r="AX16" s="671"/>
      <c r="AY16" s="624"/>
    </row>
    <row r="17" spans="1:99" ht="19.5" thickBot="1" x14ac:dyDescent="0.35">
      <c r="A17" s="4"/>
      <c r="B17" s="7" t="s">
        <v>19</v>
      </c>
      <c r="C17" s="53">
        <f>'Input sheet'!E19</f>
        <v>4125</v>
      </c>
      <c r="H17" s="252"/>
      <c r="I17" s="252"/>
      <c r="K17" s="110" t="s">
        <v>20</v>
      </c>
      <c r="L17" s="109" t="s">
        <v>116</v>
      </c>
      <c r="M17" s="228">
        <f>C12*(C10+C8)</f>
        <v>133046875</v>
      </c>
      <c r="N17" s="671"/>
      <c r="P17" s="259" t="s">
        <v>20</v>
      </c>
      <c r="Q17" s="45">
        <f>$C$31</f>
        <v>15</v>
      </c>
      <c r="R17" s="45">
        <f>$C$33</f>
        <v>25</v>
      </c>
      <c r="S17" s="45">
        <v>45</v>
      </c>
      <c r="T17" s="45">
        <f t="shared" si="4"/>
        <v>8.9396576292116645</v>
      </c>
      <c r="U17" s="45">
        <f t="shared" si="13"/>
        <v>4.7596350895839364E-4</v>
      </c>
      <c r="V17" s="45">
        <f t="shared" si="0"/>
        <v>9.5170047665492732E-4</v>
      </c>
      <c r="W17" s="671"/>
      <c r="Y17" s="260" t="s">
        <v>20</v>
      </c>
      <c r="Z17" s="231" t="s">
        <v>232</v>
      </c>
      <c r="AA17" s="232" t="s">
        <v>195</v>
      </c>
      <c r="AB17" s="232">
        <f t="shared" si="5"/>
        <v>0.01</v>
      </c>
      <c r="AC17" s="232">
        <v>0.5</v>
      </c>
      <c r="AD17" s="232">
        <f t="shared" si="1"/>
        <v>0.505</v>
      </c>
      <c r="AE17" s="232" t="s">
        <v>233</v>
      </c>
      <c r="AF17" s="232">
        <f t="shared" si="14"/>
        <v>4</v>
      </c>
      <c r="AG17" s="232">
        <v>0</v>
      </c>
      <c r="AH17" s="232" t="s">
        <v>15</v>
      </c>
      <c r="AI17" s="232">
        <f t="shared" si="15"/>
        <v>1</v>
      </c>
      <c r="AJ17" s="232">
        <f t="shared" si="6"/>
        <v>0</v>
      </c>
      <c r="AK17" s="232">
        <f t="shared" si="7"/>
        <v>4</v>
      </c>
      <c r="AL17" s="232">
        <f t="shared" si="2"/>
        <v>45</v>
      </c>
      <c r="AM17" s="232">
        <f t="shared" si="8"/>
        <v>0.83333333333333326</v>
      </c>
      <c r="AN17" s="233">
        <f t="shared" si="3"/>
        <v>1.6833333333333331</v>
      </c>
      <c r="AO17" s="673"/>
      <c r="AP17" s="224"/>
      <c r="AQ17" s="259" t="s">
        <v>20</v>
      </c>
      <c r="AR17" s="234">
        <f t="shared" si="9"/>
        <v>133046875</v>
      </c>
      <c r="AS17" s="234">
        <f t="shared" si="10"/>
        <v>9.5170047665492732E-4</v>
      </c>
      <c r="AT17" s="234">
        <f t="shared" si="11"/>
        <v>1.6833333333333331</v>
      </c>
      <c r="AU17" s="234">
        <v>1</v>
      </c>
      <c r="AV17" s="234">
        <f t="shared" si="12"/>
        <v>213144.97016416333</v>
      </c>
      <c r="AW17" s="671"/>
      <c r="AX17" s="671"/>
      <c r="AY17" s="624"/>
      <c r="AZ17" s="252"/>
      <c r="BA17" s="252"/>
      <c r="BB17" s="252"/>
      <c r="BC17" s="252"/>
      <c r="BD17" s="252"/>
      <c r="BE17" s="252"/>
      <c r="BF17" s="252"/>
      <c r="BG17" s="252"/>
      <c r="BH17" s="252"/>
      <c r="BI17" s="252"/>
      <c r="BJ17" s="252"/>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row>
    <row r="18" spans="1:99" ht="20.25" thickTop="1" thickBot="1" x14ac:dyDescent="0.35">
      <c r="A18" s="1"/>
      <c r="B18" s="8" t="s">
        <v>59</v>
      </c>
      <c r="C18" s="55">
        <f>'Input sheet'!E20</f>
        <v>98000</v>
      </c>
      <c r="H18" s="252"/>
      <c r="I18" s="252"/>
      <c r="K18" s="110" t="s">
        <v>28</v>
      </c>
      <c r="L18" s="109" t="s">
        <v>117</v>
      </c>
      <c r="M18" s="228">
        <f>C13*C11</f>
        <v>67031250</v>
      </c>
      <c r="N18" s="671"/>
      <c r="P18" s="259" t="s">
        <v>28</v>
      </c>
      <c r="Q18" s="45">
        <f>$C$33</f>
        <v>25</v>
      </c>
      <c r="R18" s="45">
        <f>$C$29</f>
        <v>45</v>
      </c>
      <c r="S18" s="45">
        <v>45</v>
      </c>
      <c r="T18" s="45">
        <f t="shared" si="4"/>
        <v>16.271214938736659</v>
      </c>
      <c r="U18" s="45">
        <f t="shared" si="13"/>
        <v>4.6062682901169601E-3</v>
      </c>
      <c r="V18" s="45">
        <f t="shared" si="0"/>
        <v>9.1913188726733836E-3</v>
      </c>
      <c r="W18" s="671"/>
      <c r="Y18" s="260" t="s">
        <v>28</v>
      </c>
      <c r="Z18" s="231" t="s">
        <v>232</v>
      </c>
      <c r="AA18" s="232" t="s">
        <v>195</v>
      </c>
      <c r="AB18" s="232">
        <f t="shared" si="5"/>
        <v>0.01</v>
      </c>
      <c r="AC18" s="232">
        <v>0.5</v>
      </c>
      <c r="AD18" s="232">
        <f t="shared" si="1"/>
        <v>0.505</v>
      </c>
      <c r="AE18" s="232" t="s">
        <v>37</v>
      </c>
      <c r="AF18" s="232">
        <f t="shared" si="14"/>
        <v>3</v>
      </c>
      <c r="AG18" s="232">
        <v>1</v>
      </c>
      <c r="AH18" s="232" t="s">
        <v>12</v>
      </c>
      <c r="AI18" s="232">
        <f t="shared" si="15"/>
        <v>2</v>
      </c>
      <c r="AJ18" s="232">
        <f t="shared" si="6"/>
        <v>1.75</v>
      </c>
      <c r="AK18" s="232">
        <f t="shared" si="7"/>
        <v>4.75</v>
      </c>
      <c r="AL18" s="232">
        <f t="shared" si="2"/>
        <v>45</v>
      </c>
      <c r="AM18" s="232">
        <f t="shared" si="8"/>
        <v>0.83333333333333326</v>
      </c>
      <c r="AN18" s="233">
        <f t="shared" si="3"/>
        <v>1.9989583333333334</v>
      </c>
      <c r="AO18" s="673"/>
      <c r="AP18" s="224"/>
      <c r="AQ18" s="259" t="s">
        <v>28</v>
      </c>
      <c r="AR18" s="234">
        <f t="shared" si="9"/>
        <v>67031250</v>
      </c>
      <c r="AS18" s="234">
        <f t="shared" si="10"/>
        <v>9.1913188726733836E-3</v>
      </c>
      <c r="AT18" s="234">
        <f t="shared" si="11"/>
        <v>1.9989583333333334</v>
      </c>
      <c r="AU18" s="234">
        <v>1</v>
      </c>
      <c r="AV18" s="234">
        <f t="shared" si="12"/>
        <v>1231569.4097082091</v>
      </c>
      <c r="AW18" s="671"/>
      <c r="AX18" s="671"/>
      <c r="AY18" s="624"/>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row>
    <row r="19" spans="1:99" ht="19.5" customHeight="1" thickTop="1" x14ac:dyDescent="0.3">
      <c r="B19" s="29"/>
      <c r="C19" s="98"/>
      <c r="H19" s="252"/>
      <c r="I19" s="252"/>
      <c r="K19" s="110" t="s">
        <v>21</v>
      </c>
      <c r="L19" s="109" t="s">
        <v>118</v>
      </c>
      <c r="M19" s="228">
        <f>C15*(C13+C11)</f>
        <v>84046875</v>
      </c>
      <c r="N19" s="671"/>
      <c r="P19" s="259" t="s">
        <v>21</v>
      </c>
      <c r="Q19" s="45">
        <f>$C$29</f>
        <v>45</v>
      </c>
      <c r="R19" s="45">
        <f>$C$31</f>
        <v>15</v>
      </c>
      <c r="S19" s="45">
        <v>45</v>
      </c>
      <c r="T19" s="45">
        <f t="shared" si="4"/>
        <v>17.995873453365363</v>
      </c>
      <c r="U19" s="45">
        <f t="shared" si="13"/>
        <v>6.7479662925189346E-3</v>
      </c>
      <c r="V19" s="45">
        <f t="shared" si="0"/>
        <v>1.3450397535952898E-2</v>
      </c>
      <c r="W19" s="671"/>
      <c r="Y19" s="260" t="s">
        <v>21</v>
      </c>
      <c r="Z19" s="231" t="s">
        <v>232</v>
      </c>
      <c r="AA19" s="232" t="s">
        <v>195</v>
      </c>
      <c r="AB19" s="232">
        <f t="shared" si="5"/>
        <v>0.01</v>
      </c>
      <c r="AC19" s="232">
        <v>0.5</v>
      </c>
      <c r="AD19" s="232">
        <f t="shared" si="1"/>
        <v>0.505</v>
      </c>
      <c r="AE19" s="232">
        <v>0</v>
      </c>
      <c r="AF19" s="232">
        <f t="shared" si="14"/>
        <v>0</v>
      </c>
      <c r="AG19" s="232">
        <v>1</v>
      </c>
      <c r="AH19" s="232" t="s">
        <v>12</v>
      </c>
      <c r="AI19" s="232">
        <f t="shared" si="15"/>
        <v>2</v>
      </c>
      <c r="AJ19" s="232">
        <f t="shared" si="6"/>
        <v>1.75</v>
      </c>
      <c r="AK19" s="232">
        <f t="shared" si="7"/>
        <v>1.75</v>
      </c>
      <c r="AL19" s="232">
        <f t="shared" si="2"/>
        <v>45</v>
      </c>
      <c r="AM19" s="232">
        <f t="shared" si="8"/>
        <v>0.83333333333333326</v>
      </c>
      <c r="AN19" s="233">
        <f t="shared" si="3"/>
        <v>0.73645833333333333</v>
      </c>
      <c r="AO19" s="673"/>
      <c r="AP19" s="224"/>
      <c r="AQ19" s="259" t="s">
        <v>21</v>
      </c>
      <c r="AR19" s="234">
        <f t="shared" si="9"/>
        <v>84046875</v>
      </c>
      <c r="AS19" s="234">
        <f t="shared" si="10"/>
        <v>1.3450397535952898E-2</v>
      </c>
      <c r="AT19" s="234">
        <f t="shared" si="11"/>
        <v>0.73645833333333333</v>
      </c>
      <c r="AU19" s="234">
        <v>1</v>
      </c>
      <c r="AV19" s="234">
        <f t="shared" si="12"/>
        <v>832539.54525626113</v>
      </c>
      <c r="AW19" s="671"/>
      <c r="AX19" s="671"/>
      <c r="AY19" s="624"/>
      <c r="AZ19" s="252"/>
      <c r="BA19" s="252"/>
      <c r="BB19" s="252"/>
      <c r="BC19" s="252"/>
      <c r="BD19" s="252"/>
      <c r="BE19" s="252"/>
      <c r="BF19" s="252"/>
      <c r="BG19" s="252"/>
      <c r="BH19" s="252"/>
      <c r="BI19" s="252"/>
      <c r="BJ19" s="252"/>
      <c r="BK19" s="252"/>
      <c r="BL19" s="252"/>
      <c r="BM19" s="252"/>
      <c r="BN19" s="252"/>
      <c r="BO19" s="252"/>
      <c r="BP19" s="252"/>
      <c r="BQ19" s="252"/>
      <c r="BR19" s="252"/>
      <c r="BS19" s="252"/>
      <c r="BT19" s="252"/>
      <c r="BU19" s="252"/>
      <c r="BV19" s="252"/>
      <c r="BW19" s="252"/>
      <c r="BX19" s="252"/>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row>
    <row r="20" spans="1:99" ht="19.5" thickBot="1" x14ac:dyDescent="0.35">
      <c r="H20" s="98"/>
      <c r="I20" s="98"/>
      <c r="K20" s="110" t="s">
        <v>29</v>
      </c>
      <c r="L20" s="109" t="s">
        <v>119</v>
      </c>
      <c r="M20" s="228">
        <f>C16*C14</f>
        <v>67031250</v>
      </c>
      <c r="N20" s="671"/>
      <c r="P20" s="259" t="s">
        <v>29</v>
      </c>
      <c r="Q20" s="45">
        <f>$C$30</f>
        <v>20</v>
      </c>
      <c r="R20" s="45">
        <f>$C$33</f>
        <v>25</v>
      </c>
      <c r="S20" s="45">
        <v>45</v>
      </c>
      <c r="T20" s="45">
        <f t="shared" si="4"/>
        <v>8.9147801264732891</v>
      </c>
      <c r="U20" s="45">
        <f t="shared" si="13"/>
        <v>4.7096302149683109E-4</v>
      </c>
      <c r="V20" s="45">
        <f t="shared" si="0"/>
        <v>9.417042368260448E-4</v>
      </c>
      <c r="W20" s="671"/>
      <c r="Y20" s="260" t="s">
        <v>29</v>
      </c>
      <c r="Z20" s="231" t="s">
        <v>232</v>
      </c>
      <c r="AA20" s="232" t="s">
        <v>195</v>
      </c>
      <c r="AB20" s="232">
        <f t="shared" si="5"/>
        <v>0.01</v>
      </c>
      <c r="AC20" s="232">
        <v>0.5</v>
      </c>
      <c r="AD20" s="232">
        <f t="shared" si="1"/>
        <v>0.505</v>
      </c>
      <c r="AE20" s="232" t="s">
        <v>234</v>
      </c>
      <c r="AF20" s="232">
        <f t="shared" si="14"/>
        <v>4</v>
      </c>
      <c r="AG20" s="232">
        <v>0</v>
      </c>
      <c r="AH20" s="232" t="s">
        <v>18</v>
      </c>
      <c r="AI20" s="232">
        <f t="shared" si="15"/>
        <v>1</v>
      </c>
      <c r="AJ20" s="232">
        <f t="shared" si="6"/>
        <v>0</v>
      </c>
      <c r="AK20" s="232">
        <f t="shared" si="7"/>
        <v>4</v>
      </c>
      <c r="AL20" s="232">
        <f t="shared" si="2"/>
        <v>45</v>
      </c>
      <c r="AM20" s="232">
        <f t="shared" si="8"/>
        <v>0.83333333333333326</v>
      </c>
      <c r="AN20" s="233">
        <f t="shared" si="3"/>
        <v>1.6833333333333331</v>
      </c>
      <c r="AO20" s="673"/>
      <c r="AP20" s="224"/>
      <c r="AQ20" s="259" t="s">
        <v>29</v>
      </c>
      <c r="AR20" s="234">
        <f t="shared" si="9"/>
        <v>67031250</v>
      </c>
      <c r="AS20" s="234">
        <f t="shared" si="10"/>
        <v>9.417042368260448E-4</v>
      </c>
      <c r="AT20" s="234">
        <f t="shared" si="11"/>
        <v>1.6833333333333331</v>
      </c>
      <c r="AU20" s="234">
        <v>1</v>
      </c>
      <c r="AV20" s="234">
        <f t="shared" si="12"/>
        <v>106258.08040998878</v>
      </c>
      <c r="AW20" s="671"/>
      <c r="AX20" s="671"/>
      <c r="AY20" s="624"/>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row>
    <row r="21" spans="1:99" ht="19.5" customHeight="1" thickTop="1" thickBot="1" x14ac:dyDescent="0.35">
      <c r="A21" s="699" t="s">
        <v>245</v>
      </c>
      <c r="B21" s="700"/>
      <c r="C21" s="701"/>
      <c r="H21" s="261"/>
      <c r="I21" s="261"/>
      <c r="K21" s="262" t="s">
        <v>30</v>
      </c>
      <c r="L21" s="105" t="s">
        <v>120</v>
      </c>
      <c r="M21" s="245">
        <f>C6*(C16+C14)</f>
        <v>133046875</v>
      </c>
      <c r="N21" s="461"/>
      <c r="P21" s="263" t="s">
        <v>30</v>
      </c>
      <c r="Q21" s="46">
        <f>$C$32</f>
        <v>15</v>
      </c>
      <c r="R21" s="46">
        <f>$C$33</f>
        <v>25</v>
      </c>
      <c r="S21" s="46">
        <v>45</v>
      </c>
      <c r="T21" s="46">
        <f t="shared" si="4"/>
        <v>8.9396576292116645</v>
      </c>
      <c r="U21" s="46">
        <f t="shared" si="13"/>
        <v>4.7596350895839364E-4</v>
      </c>
      <c r="V21" s="46">
        <f t="shared" si="0"/>
        <v>9.5170047665492732E-4</v>
      </c>
      <c r="W21" s="461"/>
      <c r="Y21" s="264" t="s">
        <v>30</v>
      </c>
      <c r="Z21" s="265" t="s">
        <v>232</v>
      </c>
      <c r="AA21" s="249" t="s">
        <v>195</v>
      </c>
      <c r="AB21" s="249">
        <f t="shared" si="5"/>
        <v>0.01</v>
      </c>
      <c r="AC21" s="249">
        <v>0.5</v>
      </c>
      <c r="AD21" s="249">
        <f t="shared" si="1"/>
        <v>0.505</v>
      </c>
      <c r="AE21" s="249" t="s">
        <v>234</v>
      </c>
      <c r="AF21" s="249">
        <f t="shared" si="14"/>
        <v>4</v>
      </c>
      <c r="AG21" s="249">
        <v>0</v>
      </c>
      <c r="AH21" s="249" t="s">
        <v>18</v>
      </c>
      <c r="AI21" s="249">
        <f t="shared" si="15"/>
        <v>1</v>
      </c>
      <c r="AJ21" s="249">
        <f t="shared" si="6"/>
        <v>0</v>
      </c>
      <c r="AK21" s="249">
        <f t="shared" si="7"/>
        <v>4</v>
      </c>
      <c r="AL21" s="249">
        <f t="shared" si="2"/>
        <v>45</v>
      </c>
      <c r="AM21" s="249">
        <f t="shared" si="8"/>
        <v>0.83333333333333326</v>
      </c>
      <c r="AN21" s="250">
        <f t="shared" si="3"/>
        <v>1.6833333333333331</v>
      </c>
      <c r="AO21" s="674"/>
      <c r="AP21" s="224"/>
      <c r="AQ21" s="263" t="s">
        <v>30</v>
      </c>
      <c r="AR21" s="251">
        <f t="shared" si="9"/>
        <v>133046875</v>
      </c>
      <c r="AS21" s="251">
        <f t="shared" si="10"/>
        <v>9.5170047665492732E-4</v>
      </c>
      <c r="AT21" s="251">
        <f t="shared" si="11"/>
        <v>1.6833333333333331</v>
      </c>
      <c r="AU21" s="251">
        <v>1</v>
      </c>
      <c r="AV21" s="251">
        <f t="shared" si="12"/>
        <v>213144.97016416333</v>
      </c>
      <c r="AW21" s="461"/>
      <c r="AX21" s="461"/>
      <c r="AY21" s="624"/>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1"/>
      <c r="BZ21" s="261"/>
      <c r="CA21" s="261"/>
      <c r="CB21" s="261"/>
      <c r="CC21" s="261"/>
      <c r="CD21" s="261"/>
      <c r="CE21" s="261"/>
      <c r="CF21" s="261"/>
      <c r="CG21" s="261"/>
      <c r="CH21" s="261"/>
      <c r="CI21" s="261"/>
      <c r="CJ21" s="261"/>
      <c r="CK21" s="261"/>
      <c r="CL21" s="261"/>
      <c r="CM21" s="261"/>
      <c r="CN21" s="261"/>
      <c r="CO21" s="261"/>
      <c r="CP21" s="261"/>
      <c r="CQ21" s="261"/>
      <c r="CR21" s="261"/>
      <c r="CS21" s="261"/>
      <c r="CT21" s="261"/>
      <c r="CU21" s="261"/>
    </row>
    <row r="22" spans="1:99" ht="19.5" customHeight="1" thickTop="1" x14ac:dyDescent="0.3">
      <c r="A22" s="460" t="s">
        <v>191</v>
      </c>
      <c r="B22" s="104" t="s">
        <v>9</v>
      </c>
      <c r="C22" s="93">
        <f>'Input sheet'!E38</f>
        <v>2</v>
      </c>
      <c r="H22" s="261"/>
      <c r="I22" s="261"/>
      <c r="K22" s="266" t="s">
        <v>26</v>
      </c>
      <c r="L22" s="104" t="s">
        <v>121</v>
      </c>
      <c r="M22" s="218">
        <f>C10*C7</f>
        <v>134062500</v>
      </c>
      <c r="N22" s="702">
        <f>SUM(M22:M37)</f>
        <v>1270562500</v>
      </c>
      <c r="P22" s="267" t="s">
        <v>26</v>
      </c>
      <c r="Q22" s="268">
        <f t="shared" ref="Q22:Q27" si="16">$C$29</f>
        <v>45</v>
      </c>
      <c r="R22" s="268">
        <f>$C$32</f>
        <v>15</v>
      </c>
      <c r="S22" s="268">
        <v>90</v>
      </c>
      <c r="T22" s="268">
        <f t="shared" si="4"/>
        <v>23.717082451262844</v>
      </c>
      <c r="U22" s="268">
        <f t="shared" si="13"/>
        <v>1.9210987348136588E-2</v>
      </c>
      <c r="V22" s="268">
        <f t="shared" si="0"/>
        <v>3.8052912661382915E-2</v>
      </c>
      <c r="W22" s="460">
        <f>AVERAGE(V22:V37)</f>
        <v>3.7879772717812232E-2</v>
      </c>
      <c r="Y22" s="266" t="s">
        <v>26</v>
      </c>
      <c r="Z22" s="269" t="s">
        <v>235</v>
      </c>
      <c r="AA22" s="222" t="s">
        <v>247</v>
      </c>
      <c r="AB22" s="222">
        <f t="shared" si="5"/>
        <v>0.01</v>
      </c>
      <c r="AC22" s="222">
        <v>0.5</v>
      </c>
      <c r="AD22" s="222">
        <f t="shared" si="1"/>
        <v>0.505</v>
      </c>
      <c r="AE22" s="222" t="s">
        <v>233</v>
      </c>
      <c r="AF22" s="222">
        <f t="shared" si="14"/>
        <v>4</v>
      </c>
      <c r="AG22" s="222">
        <v>0</v>
      </c>
      <c r="AH22" s="222" t="s">
        <v>15</v>
      </c>
      <c r="AI22" s="222">
        <f t="shared" si="15"/>
        <v>1</v>
      </c>
      <c r="AJ22" s="222">
        <f t="shared" si="6"/>
        <v>0</v>
      </c>
      <c r="AK22" s="222">
        <f t="shared" si="7"/>
        <v>4</v>
      </c>
      <c r="AL22" s="222">
        <f t="shared" si="2"/>
        <v>45</v>
      </c>
      <c r="AM22" s="222">
        <f t="shared" si="8"/>
        <v>0.83333333333333326</v>
      </c>
      <c r="AN22" s="223">
        <f t="shared" si="3"/>
        <v>1.6833333333333331</v>
      </c>
      <c r="AO22" s="672">
        <f>AVERAGE(AN22:AN37)</f>
        <v>1.65703125</v>
      </c>
      <c r="AP22" s="224"/>
      <c r="AQ22" s="267" t="s">
        <v>26</v>
      </c>
      <c r="AR22" s="270">
        <f t="shared" si="9"/>
        <v>134062500</v>
      </c>
      <c r="AS22" s="270">
        <f t="shared" si="10"/>
        <v>3.8052912661382915E-2</v>
      </c>
      <c r="AT22" s="270">
        <f t="shared" si="11"/>
        <v>1.6833333333333331</v>
      </c>
      <c r="AU22" s="270">
        <v>1</v>
      </c>
      <c r="AV22" s="270">
        <f t="shared" si="12"/>
        <v>8587472.1495055221</v>
      </c>
      <c r="AW22" s="460">
        <f>SUM(AV22:AV37)</f>
        <v>105916106.98264952</v>
      </c>
      <c r="AX22" s="460">
        <f>100*EXP((-1/13700000)*AW22)</f>
        <v>4.3895980938169862E-2</v>
      </c>
      <c r="AY22" s="624"/>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1"/>
    </row>
    <row r="23" spans="1:99" ht="19.5" thickBot="1" x14ac:dyDescent="0.35">
      <c r="A23" s="461"/>
      <c r="B23" s="105" t="s">
        <v>12</v>
      </c>
      <c r="C23" s="94">
        <f>'Input sheet'!E39</f>
        <v>2</v>
      </c>
      <c r="H23" s="261"/>
      <c r="I23" s="261"/>
      <c r="K23" s="271" t="s">
        <v>27</v>
      </c>
      <c r="L23" s="109" t="s">
        <v>122</v>
      </c>
      <c r="M23" s="228">
        <f>C13*C10</f>
        <v>134062500</v>
      </c>
      <c r="N23" s="671"/>
      <c r="P23" s="272" t="s">
        <v>27</v>
      </c>
      <c r="Q23" s="45">
        <f t="shared" si="16"/>
        <v>45</v>
      </c>
      <c r="R23" s="45">
        <f>$C$33</f>
        <v>25</v>
      </c>
      <c r="S23" s="45">
        <v>90</v>
      </c>
      <c r="T23" s="45">
        <f t="shared" si="4"/>
        <v>25.739075352467502</v>
      </c>
      <c r="U23" s="45">
        <f t="shared" si="13"/>
        <v>2.6194779393934508E-2</v>
      </c>
      <c r="V23" s="45">
        <f t="shared" si="0"/>
        <v>5.1703392320372119E-2</v>
      </c>
      <c r="W23" s="671"/>
      <c r="Y23" s="271" t="s">
        <v>27</v>
      </c>
      <c r="Z23" s="231" t="s">
        <v>235</v>
      </c>
      <c r="AA23" s="232" t="s">
        <v>247</v>
      </c>
      <c r="AB23" s="232">
        <f t="shared" si="5"/>
        <v>0.01</v>
      </c>
      <c r="AC23" s="232">
        <v>0.5</v>
      </c>
      <c r="AD23" s="232">
        <f t="shared" si="1"/>
        <v>0.505</v>
      </c>
      <c r="AE23" s="232" t="s">
        <v>233</v>
      </c>
      <c r="AF23" s="232">
        <f t="shared" si="14"/>
        <v>4</v>
      </c>
      <c r="AG23" s="232">
        <v>0</v>
      </c>
      <c r="AH23" s="232" t="s">
        <v>15</v>
      </c>
      <c r="AI23" s="232">
        <f t="shared" si="15"/>
        <v>1</v>
      </c>
      <c r="AJ23" s="232">
        <f t="shared" si="6"/>
        <v>0</v>
      </c>
      <c r="AK23" s="232">
        <f t="shared" si="7"/>
        <v>4</v>
      </c>
      <c r="AL23" s="232">
        <f t="shared" si="2"/>
        <v>45</v>
      </c>
      <c r="AM23" s="232">
        <f t="shared" si="8"/>
        <v>0.83333333333333326</v>
      </c>
      <c r="AN23" s="233">
        <f t="shared" si="3"/>
        <v>1.6833333333333331</v>
      </c>
      <c r="AO23" s="673"/>
      <c r="AP23" s="224"/>
      <c r="AQ23" s="272" t="s">
        <v>27</v>
      </c>
      <c r="AR23" s="273">
        <f t="shared" si="9"/>
        <v>134062500</v>
      </c>
      <c r="AS23" s="273">
        <f t="shared" si="10"/>
        <v>5.1703392320372119E-2</v>
      </c>
      <c r="AT23" s="273">
        <f t="shared" si="11"/>
        <v>1.6833333333333331</v>
      </c>
      <c r="AU23" s="273">
        <v>1</v>
      </c>
      <c r="AV23" s="273">
        <f t="shared" si="12"/>
        <v>11668001.488798976</v>
      </c>
      <c r="AW23" s="671"/>
      <c r="AX23" s="671"/>
      <c r="AY23" s="624"/>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A23" s="261"/>
      <c r="CB23" s="261"/>
      <c r="CC23" s="261"/>
      <c r="CD23" s="261"/>
      <c r="CE23" s="261"/>
      <c r="CF23" s="261"/>
      <c r="CG23" s="261"/>
      <c r="CH23" s="261"/>
      <c r="CI23" s="261"/>
      <c r="CJ23" s="261"/>
      <c r="CK23" s="261"/>
      <c r="CL23" s="261"/>
      <c r="CM23" s="261"/>
      <c r="CN23" s="261"/>
      <c r="CO23" s="261"/>
      <c r="CP23" s="261"/>
      <c r="CQ23" s="261"/>
      <c r="CR23" s="261"/>
      <c r="CS23" s="261"/>
      <c r="CT23" s="261"/>
      <c r="CU23" s="261"/>
    </row>
    <row r="24" spans="1:99" ht="20.25" customHeight="1" thickTop="1" x14ac:dyDescent="0.3">
      <c r="A24" s="460" t="s">
        <v>192</v>
      </c>
      <c r="B24" s="104" t="s">
        <v>15</v>
      </c>
      <c r="C24" s="93">
        <f>'Input sheet'!E40</f>
        <v>1</v>
      </c>
      <c r="H24" s="261"/>
      <c r="I24" s="261"/>
      <c r="K24" s="271" t="s">
        <v>22</v>
      </c>
      <c r="L24" s="109" t="s">
        <v>123</v>
      </c>
      <c r="M24" s="228">
        <f>C13*C16</f>
        <v>134062500</v>
      </c>
      <c r="N24" s="671"/>
      <c r="P24" s="272" t="s">
        <v>22</v>
      </c>
      <c r="Q24" s="45">
        <f t="shared" si="16"/>
        <v>45</v>
      </c>
      <c r="R24" s="45">
        <f>$C$32</f>
        <v>15</v>
      </c>
      <c r="S24" s="45">
        <v>90</v>
      </c>
      <c r="T24" s="45">
        <f t="shared" si="4"/>
        <v>23.717082451262844</v>
      </c>
      <c r="U24" s="45">
        <f t="shared" si="13"/>
        <v>1.9210987348136588E-2</v>
      </c>
      <c r="V24" s="45">
        <f t="shared" si="0"/>
        <v>3.8052912661382915E-2</v>
      </c>
      <c r="W24" s="671"/>
      <c r="Y24" s="271" t="s">
        <v>22</v>
      </c>
      <c r="Z24" s="231" t="s">
        <v>235</v>
      </c>
      <c r="AA24" s="232" t="s">
        <v>247</v>
      </c>
      <c r="AB24" s="232">
        <f t="shared" si="5"/>
        <v>0.01</v>
      </c>
      <c r="AC24" s="232">
        <v>0.5</v>
      </c>
      <c r="AD24" s="232">
        <f t="shared" si="1"/>
        <v>0.505</v>
      </c>
      <c r="AE24" s="232" t="s">
        <v>234</v>
      </c>
      <c r="AF24" s="232">
        <f t="shared" si="14"/>
        <v>4</v>
      </c>
      <c r="AG24" s="232">
        <v>0</v>
      </c>
      <c r="AH24" s="232" t="s">
        <v>18</v>
      </c>
      <c r="AI24" s="232">
        <f t="shared" si="15"/>
        <v>1</v>
      </c>
      <c r="AJ24" s="232">
        <f t="shared" si="6"/>
        <v>0</v>
      </c>
      <c r="AK24" s="232">
        <f t="shared" si="7"/>
        <v>4</v>
      </c>
      <c r="AL24" s="232">
        <f t="shared" si="2"/>
        <v>45</v>
      </c>
      <c r="AM24" s="232">
        <f t="shared" si="8"/>
        <v>0.83333333333333326</v>
      </c>
      <c r="AN24" s="233">
        <f t="shared" si="3"/>
        <v>1.6833333333333331</v>
      </c>
      <c r="AO24" s="673"/>
      <c r="AP24" s="224"/>
      <c r="AQ24" s="272" t="s">
        <v>22</v>
      </c>
      <c r="AR24" s="273">
        <f t="shared" si="9"/>
        <v>134062500</v>
      </c>
      <c r="AS24" s="273">
        <f t="shared" si="10"/>
        <v>3.8052912661382915E-2</v>
      </c>
      <c r="AT24" s="273">
        <f t="shared" si="11"/>
        <v>1.6833333333333331</v>
      </c>
      <c r="AU24" s="273">
        <v>1</v>
      </c>
      <c r="AV24" s="273">
        <f t="shared" si="12"/>
        <v>8587472.1495055221</v>
      </c>
      <c r="AW24" s="671"/>
      <c r="AX24" s="671"/>
      <c r="AY24" s="624"/>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A24" s="261"/>
      <c r="CB24" s="261"/>
      <c r="CC24" s="261"/>
      <c r="CD24" s="261"/>
      <c r="CE24" s="261"/>
      <c r="CF24" s="261"/>
      <c r="CG24" s="261"/>
      <c r="CH24" s="261"/>
      <c r="CI24" s="261"/>
      <c r="CJ24" s="261"/>
      <c r="CK24" s="261"/>
      <c r="CL24" s="261"/>
      <c r="CM24" s="261"/>
      <c r="CN24" s="261"/>
      <c r="CO24" s="261"/>
      <c r="CP24" s="261"/>
      <c r="CQ24" s="261"/>
      <c r="CR24" s="261"/>
      <c r="CS24" s="261"/>
      <c r="CT24" s="261"/>
      <c r="CU24" s="261"/>
    </row>
    <row r="25" spans="1:99" ht="19.5" customHeight="1" thickBot="1" x14ac:dyDescent="0.35">
      <c r="A25" s="461"/>
      <c r="B25" s="105" t="s">
        <v>18</v>
      </c>
      <c r="C25" s="94">
        <f>'Input sheet'!E41</f>
        <v>1</v>
      </c>
      <c r="H25" s="261"/>
      <c r="I25" s="261"/>
      <c r="K25" s="271" t="s">
        <v>20</v>
      </c>
      <c r="L25" s="109" t="s">
        <v>123</v>
      </c>
      <c r="M25" s="228">
        <f>C13*C16</f>
        <v>134062500</v>
      </c>
      <c r="N25" s="671"/>
      <c r="P25" s="272" t="s">
        <v>20</v>
      </c>
      <c r="Q25" s="45">
        <f t="shared" si="16"/>
        <v>45</v>
      </c>
      <c r="R25" s="45">
        <f>$C$33</f>
        <v>25</v>
      </c>
      <c r="S25" s="45">
        <v>90</v>
      </c>
      <c r="T25" s="45">
        <f t="shared" si="4"/>
        <v>25.739075352467502</v>
      </c>
      <c r="U25" s="45">
        <f t="shared" si="13"/>
        <v>2.6194779393934508E-2</v>
      </c>
      <c r="V25" s="45">
        <f t="shared" si="0"/>
        <v>5.1703392320372119E-2</v>
      </c>
      <c r="W25" s="671"/>
      <c r="Y25" s="271" t="s">
        <v>20</v>
      </c>
      <c r="Z25" s="231" t="s">
        <v>235</v>
      </c>
      <c r="AA25" s="232" t="s">
        <v>247</v>
      </c>
      <c r="AB25" s="232">
        <f t="shared" si="5"/>
        <v>0.01</v>
      </c>
      <c r="AC25" s="232">
        <v>0.5</v>
      </c>
      <c r="AD25" s="232">
        <f t="shared" si="1"/>
        <v>0.505</v>
      </c>
      <c r="AE25" s="232" t="s">
        <v>234</v>
      </c>
      <c r="AF25" s="232">
        <f t="shared" si="14"/>
        <v>4</v>
      </c>
      <c r="AG25" s="232">
        <v>0</v>
      </c>
      <c r="AH25" s="232" t="s">
        <v>18</v>
      </c>
      <c r="AI25" s="232">
        <f t="shared" si="15"/>
        <v>1</v>
      </c>
      <c r="AJ25" s="232">
        <f t="shared" si="6"/>
        <v>0</v>
      </c>
      <c r="AK25" s="232">
        <f t="shared" si="7"/>
        <v>4</v>
      </c>
      <c r="AL25" s="232">
        <f t="shared" si="2"/>
        <v>45</v>
      </c>
      <c r="AM25" s="232">
        <f t="shared" si="8"/>
        <v>0.83333333333333326</v>
      </c>
      <c r="AN25" s="233">
        <f t="shared" si="3"/>
        <v>1.6833333333333331</v>
      </c>
      <c r="AO25" s="673"/>
      <c r="AP25" s="224"/>
      <c r="AQ25" s="272" t="s">
        <v>20</v>
      </c>
      <c r="AR25" s="273">
        <f t="shared" si="9"/>
        <v>134062500</v>
      </c>
      <c r="AS25" s="273">
        <f t="shared" si="10"/>
        <v>5.1703392320372119E-2</v>
      </c>
      <c r="AT25" s="273">
        <f t="shared" si="11"/>
        <v>1.6833333333333331</v>
      </c>
      <c r="AU25" s="273">
        <v>1</v>
      </c>
      <c r="AV25" s="273">
        <f t="shared" si="12"/>
        <v>11668001.488798976</v>
      </c>
      <c r="AW25" s="671"/>
      <c r="AX25" s="671"/>
      <c r="AY25" s="624"/>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A25" s="261"/>
      <c r="CB25" s="261"/>
      <c r="CC25" s="261"/>
      <c r="CD25" s="261"/>
      <c r="CE25" s="261"/>
      <c r="CF25" s="261"/>
      <c r="CG25" s="261"/>
      <c r="CH25" s="261"/>
      <c r="CI25" s="261"/>
      <c r="CJ25" s="261"/>
      <c r="CK25" s="261"/>
      <c r="CL25" s="261"/>
      <c r="CM25" s="261"/>
      <c r="CN25" s="261"/>
      <c r="CO25" s="261"/>
      <c r="CP25" s="261"/>
      <c r="CQ25" s="261"/>
      <c r="CR25" s="261"/>
      <c r="CS25" s="261"/>
      <c r="CT25" s="261"/>
      <c r="CU25" s="261"/>
    </row>
    <row r="26" spans="1:99" ht="19.5" thickTop="1" x14ac:dyDescent="0.3">
      <c r="H26" s="261"/>
      <c r="I26" s="261"/>
      <c r="K26" s="271" t="s">
        <v>28</v>
      </c>
      <c r="L26" s="109" t="s">
        <v>124</v>
      </c>
      <c r="M26" s="228">
        <f>C7*C11</f>
        <v>67031250</v>
      </c>
      <c r="N26" s="671"/>
      <c r="P26" s="272" t="s">
        <v>28</v>
      </c>
      <c r="Q26" s="45">
        <f t="shared" si="16"/>
        <v>45</v>
      </c>
      <c r="R26" s="45">
        <f>$C$32</f>
        <v>15</v>
      </c>
      <c r="S26" s="45">
        <v>230</v>
      </c>
      <c r="T26" s="45">
        <f t="shared" si="4"/>
        <v>27.918467333813421</v>
      </c>
      <c r="U26" s="45">
        <f t="shared" si="13"/>
        <v>3.5644830871376348E-2</v>
      </c>
      <c r="V26" s="45">
        <f t="shared" si="0"/>
        <v>7.0019107774903666E-2</v>
      </c>
      <c r="W26" s="671"/>
      <c r="Y26" s="271" t="s">
        <v>28</v>
      </c>
      <c r="Z26" s="231" t="s">
        <v>235</v>
      </c>
      <c r="AA26" s="232" t="s">
        <v>247</v>
      </c>
      <c r="AB26" s="232">
        <f t="shared" si="5"/>
        <v>0.01</v>
      </c>
      <c r="AC26" s="232">
        <v>0.5</v>
      </c>
      <c r="AD26" s="232">
        <f t="shared" si="1"/>
        <v>0.505</v>
      </c>
      <c r="AE26" s="232" t="s">
        <v>37</v>
      </c>
      <c r="AF26" s="232">
        <f t="shared" si="14"/>
        <v>3</v>
      </c>
      <c r="AG26" s="232">
        <v>1</v>
      </c>
      <c r="AH26" s="232" t="s">
        <v>12</v>
      </c>
      <c r="AI26" s="232">
        <f t="shared" si="15"/>
        <v>2</v>
      </c>
      <c r="AJ26" s="232">
        <f t="shared" si="6"/>
        <v>1.75</v>
      </c>
      <c r="AK26" s="232">
        <f t="shared" si="7"/>
        <v>4.75</v>
      </c>
      <c r="AL26" s="232">
        <f t="shared" si="2"/>
        <v>45</v>
      </c>
      <c r="AM26" s="232">
        <f t="shared" si="8"/>
        <v>0.83333333333333326</v>
      </c>
      <c r="AN26" s="233">
        <f t="shared" si="3"/>
        <v>1.9989583333333334</v>
      </c>
      <c r="AO26" s="673"/>
      <c r="AP26" s="224"/>
      <c r="AQ26" s="272" t="s">
        <v>28</v>
      </c>
      <c r="AR26" s="273">
        <f t="shared" si="9"/>
        <v>67031250</v>
      </c>
      <c r="AS26" s="273">
        <f t="shared" si="10"/>
        <v>7.0019107774903666E-2</v>
      </c>
      <c r="AT26" s="273">
        <f t="shared" si="11"/>
        <v>1.9989583333333334</v>
      </c>
      <c r="AU26" s="273">
        <v>1</v>
      </c>
      <c r="AV26" s="273">
        <f t="shared" si="12"/>
        <v>9382047.6065750681</v>
      </c>
      <c r="AW26" s="671"/>
      <c r="AX26" s="671"/>
      <c r="AY26" s="624"/>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61"/>
      <c r="CR26" s="261"/>
      <c r="CS26" s="261"/>
      <c r="CT26" s="261"/>
      <c r="CU26" s="261"/>
    </row>
    <row r="27" spans="1:99" ht="18.75" customHeight="1" thickBot="1" x14ac:dyDescent="0.35">
      <c r="H27" s="261"/>
      <c r="I27" s="261"/>
      <c r="K27" s="271" t="s">
        <v>21</v>
      </c>
      <c r="L27" s="109" t="s">
        <v>125</v>
      </c>
      <c r="M27" s="228">
        <f>C7*C14</f>
        <v>132031250</v>
      </c>
      <c r="N27" s="671"/>
      <c r="P27" s="272" t="s">
        <v>21</v>
      </c>
      <c r="Q27" s="45">
        <f t="shared" si="16"/>
        <v>45</v>
      </c>
      <c r="R27" s="45">
        <f>$C$30</f>
        <v>20</v>
      </c>
      <c r="S27" s="45">
        <v>230</v>
      </c>
      <c r="T27" s="45">
        <f t="shared" si="4"/>
        <v>29.924979939156898</v>
      </c>
      <c r="U27" s="45">
        <f t="shared" si="13"/>
        <v>4.6369867746318419E-2</v>
      </c>
      <c r="V27" s="45">
        <f t="shared" si="0"/>
        <v>9.0589570857825777E-2</v>
      </c>
      <c r="W27" s="671"/>
      <c r="Y27" s="271" t="s">
        <v>21</v>
      </c>
      <c r="Z27" s="231" t="s">
        <v>235</v>
      </c>
      <c r="AA27" s="232" t="s">
        <v>247</v>
      </c>
      <c r="AB27" s="232">
        <f t="shared" si="5"/>
        <v>0.01</v>
      </c>
      <c r="AC27" s="232">
        <v>0.5</v>
      </c>
      <c r="AD27" s="232">
        <f t="shared" si="1"/>
        <v>0.505</v>
      </c>
      <c r="AE27" s="232" t="s">
        <v>236</v>
      </c>
      <c r="AF27" s="232">
        <f t="shared" si="14"/>
        <v>3</v>
      </c>
      <c r="AG27" s="232">
        <v>1</v>
      </c>
      <c r="AH27" s="232" t="s">
        <v>18</v>
      </c>
      <c r="AI27" s="232">
        <f t="shared" si="15"/>
        <v>1</v>
      </c>
      <c r="AJ27" s="232">
        <f t="shared" si="6"/>
        <v>1</v>
      </c>
      <c r="AK27" s="232">
        <f t="shared" si="7"/>
        <v>4</v>
      </c>
      <c r="AL27" s="232">
        <f t="shared" si="2"/>
        <v>45</v>
      </c>
      <c r="AM27" s="232">
        <f t="shared" si="8"/>
        <v>0.83333333333333326</v>
      </c>
      <c r="AN27" s="233">
        <f t="shared" si="3"/>
        <v>1.6833333333333331</v>
      </c>
      <c r="AO27" s="673"/>
      <c r="AP27" s="224"/>
      <c r="AQ27" s="272" t="s">
        <v>21</v>
      </c>
      <c r="AR27" s="273">
        <f t="shared" si="9"/>
        <v>132031250</v>
      </c>
      <c r="AS27" s="273">
        <f t="shared" si="10"/>
        <v>9.0589570857825777E-2</v>
      </c>
      <c r="AT27" s="273">
        <f t="shared" si="11"/>
        <v>1.6833333333333331</v>
      </c>
      <c r="AU27" s="273">
        <v>1</v>
      </c>
      <c r="AV27" s="273">
        <f t="shared" si="12"/>
        <v>20133768.03349255</v>
      </c>
      <c r="AW27" s="671"/>
      <c r="AX27" s="671"/>
      <c r="AY27" s="624"/>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A27" s="261"/>
      <c r="CB27" s="261"/>
      <c r="CC27" s="261"/>
      <c r="CD27" s="261"/>
      <c r="CE27" s="261"/>
      <c r="CF27" s="261"/>
      <c r="CG27" s="261"/>
      <c r="CH27" s="261"/>
      <c r="CI27" s="261"/>
      <c r="CJ27" s="261"/>
      <c r="CK27" s="261"/>
      <c r="CL27" s="261"/>
      <c r="CM27" s="261"/>
      <c r="CN27" s="261"/>
      <c r="CO27" s="261"/>
      <c r="CP27" s="261"/>
      <c r="CQ27" s="261"/>
      <c r="CR27" s="261"/>
      <c r="CS27" s="261"/>
      <c r="CT27" s="261"/>
      <c r="CU27" s="261"/>
    </row>
    <row r="28" spans="1:99" ht="20.25" thickTop="1" thickBot="1" x14ac:dyDescent="0.35">
      <c r="B28" s="706" t="s">
        <v>199</v>
      </c>
      <c r="C28" s="707"/>
      <c r="K28" s="271" t="s">
        <v>29</v>
      </c>
      <c r="L28" s="109" t="s">
        <v>126</v>
      </c>
      <c r="M28" s="228">
        <f>C10*C14</f>
        <v>67031250</v>
      </c>
      <c r="N28" s="671"/>
      <c r="P28" s="272" t="s">
        <v>29</v>
      </c>
      <c r="Q28" s="45">
        <f>$C$30</f>
        <v>20</v>
      </c>
      <c r="R28" s="45">
        <f>$C$32</f>
        <v>15</v>
      </c>
      <c r="S28" s="45">
        <v>230</v>
      </c>
      <c r="T28" s="45">
        <f t="shared" si="4"/>
        <v>15.895538413434787</v>
      </c>
      <c r="U28" s="45">
        <f t="shared" si="13"/>
        <v>4.2160006424573982E-3</v>
      </c>
      <c r="V28" s="45">
        <f t="shared" si="0"/>
        <v>8.4142266234975959E-3</v>
      </c>
      <c r="W28" s="671"/>
      <c r="Y28" s="271" t="s">
        <v>29</v>
      </c>
      <c r="Z28" s="231" t="s">
        <v>235</v>
      </c>
      <c r="AA28" s="232" t="s">
        <v>247</v>
      </c>
      <c r="AB28" s="232">
        <f t="shared" si="5"/>
        <v>0.01</v>
      </c>
      <c r="AC28" s="232">
        <v>0.5</v>
      </c>
      <c r="AD28" s="232">
        <f t="shared" si="1"/>
        <v>0.505</v>
      </c>
      <c r="AE28" s="232" t="s">
        <v>233</v>
      </c>
      <c r="AF28" s="232">
        <f t="shared" si="14"/>
        <v>4</v>
      </c>
      <c r="AG28" s="232">
        <v>0</v>
      </c>
      <c r="AH28" s="232" t="s">
        <v>15</v>
      </c>
      <c r="AI28" s="232">
        <f t="shared" si="15"/>
        <v>1</v>
      </c>
      <c r="AJ28" s="232">
        <f t="shared" si="6"/>
        <v>0</v>
      </c>
      <c r="AK28" s="232">
        <f t="shared" si="7"/>
        <v>4</v>
      </c>
      <c r="AL28" s="232">
        <f t="shared" si="2"/>
        <v>45</v>
      </c>
      <c r="AM28" s="232">
        <f t="shared" si="8"/>
        <v>0.83333333333333326</v>
      </c>
      <c r="AN28" s="233">
        <f t="shared" si="3"/>
        <v>1.6833333333333331</v>
      </c>
      <c r="AO28" s="673"/>
      <c r="AP28" s="224"/>
      <c r="AQ28" s="272" t="s">
        <v>29</v>
      </c>
      <c r="AR28" s="273">
        <f t="shared" si="9"/>
        <v>67031250</v>
      </c>
      <c r="AS28" s="273">
        <f t="shared" si="10"/>
        <v>8.4142266234975959E-3</v>
      </c>
      <c r="AT28" s="273">
        <f t="shared" si="11"/>
        <v>1.6833333333333331</v>
      </c>
      <c r="AU28" s="273">
        <v>1</v>
      </c>
      <c r="AV28" s="273">
        <f t="shared" si="12"/>
        <v>949427.1493998107</v>
      </c>
      <c r="AW28" s="671"/>
      <c r="AX28" s="671"/>
      <c r="AY28" s="624"/>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row>
    <row r="29" spans="1:99" ht="20.25" thickTop="1" thickBot="1" x14ac:dyDescent="0.35">
      <c r="B29" s="106" t="s">
        <v>200</v>
      </c>
      <c r="C29" s="60">
        <f>'Input sheet'!D27</f>
        <v>45</v>
      </c>
      <c r="K29" s="271" t="s">
        <v>30</v>
      </c>
      <c r="L29" s="109" t="s">
        <v>127</v>
      </c>
      <c r="M29" s="228">
        <f>C10*C17</f>
        <v>34031250</v>
      </c>
      <c r="N29" s="671"/>
      <c r="P29" s="272" t="s">
        <v>30</v>
      </c>
      <c r="Q29" s="45">
        <f>$C$33</f>
        <v>25</v>
      </c>
      <c r="R29" s="45">
        <f>$C$32</f>
        <v>15</v>
      </c>
      <c r="S29" s="45">
        <v>230</v>
      </c>
      <c r="T29" s="45">
        <f t="shared" si="4"/>
        <v>18.248908921254063</v>
      </c>
      <c r="U29" s="45">
        <f t="shared" si="13"/>
        <v>7.1146798558078322E-3</v>
      </c>
      <c r="V29" s="45">
        <f t="shared" si="0"/>
        <v>1.4178741042165027E-2</v>
      </c>
      <c r="W29" s="671"/>
      <c r="Y29" s="271" t="s">
        <v>30</v>
      </c>
      <c r="Z29" s="231" t="s">
        <v>235</v>
      </c>
      <c r="AA29" s="232" t="s">
        <v>247</v>
      </c>
      <c r="AB29" s="232">
        <f t="shared" si="5"/>
        <v>0.01</v>
      </c>
      <c r="AC29" s="232">
        <v>0.5</v>
      </c>
      <c r="AD29" s="232">
        <f t="shared" si="1"/>
        <v>0.505</v>
      </c>
      <c r="AE29" s="232" t="s">
        <v>44</v>
      </c>
      <c r="AF29" s="232">
        <f t="shared" si="14"/>
        <v>3</v>
      </c>
      <c r="AG29" s="232">
        <v>1</v>
      </c>
      <c r="AH29" s="232" t="s">
        <v>9</v>
      </c>
      <c r="AI29" s="232">
        <f t="shared" si="15"/>
        <v>2</v>
      </c>
      <c r="AJ29" s="232">
        <f t="shared" si="6"/>
        <v>1.75</v>
      </c>
      <c r="AK29" s="232">
        <f t="shared" si="7"/>
        <v>4.75</v>
      </c>
      <c r="AL29" s="232">
        <f t="shared" si="2"/>
        <v>45</v>
      </c>
      <c r="AM29" s="232">
        <f t="shared" si="8"/>
        <v>0.83333333333333326</v>
      </c>
      <c r="AN29" s="233">
        <f t="shared" si="3"/>
        <v>1.9989583333333334</v>
      </c>
      <c r="AO29" s="673"/>
      <c r="AP29" s="224"/>
      <c r="AQ29" s="272" t="s">
        <v>30</v>
      </c>
      <c r="AR29" s="273">
        <f t="shared" si="9"/>
        <v>34031250</v>
      </c>
      <c r="AS29" s="273">
        <f t="shared" si="10"/>
        <v>1.4178741042165027E-2</v>
      </c>
      <c r="AT29" s="273">
        <f t="shared" si="11"/>
        <v>1.9989583333333334</v>
      </c>
      <c r="AU29" s="273">
        <v>1</v>
      </c>
      <c r="AV29" s="273">
        <f t="shared" si="12"/>
        <v>964537.93688955379</v>
      </c>
      <c r="AW29" s="671"/>
      <c r="AX29" s="671"/>
      <c r="AY29" s="624"/>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row>
    <row r="30" spans="1:99" ht="18.75" customHeight="1" x14ac:dyDescent="0.3">
      <c r="B30" s="107" t="s">
        <v>201</v>
      </c>
      <c r="C30" s="61">
        <f>'Input sheet'!D28</f>
        <v>20</v>
      </c>
      <c r="E30" s="684" t="s">
        <v>93</v>
      </c>
      <c r="F30" s="685"/>
      <c r="G30" s="685"/>
      <c r="H30" s="685"/>
      <c r="I30" s="686"/>
      <c r="K30" s="271" t="s">
        <v>31</v>
      </c>
      <c r="L30" s="109" t="s">
        <v>128</v>
      </c>
      <c r="M30" s="228">
        <f>C13*C17</f>
        <v>67031250</v>
      </c>
      <c r="N30" s="671"/>
      <c r="P30" s="272" t="s">
        <v>31</v>
      </c>
      <c r="Q30" s="45">
        <f>$C$29</f>
        <v>45</v>
      </c>
      <c r="R30" s="45">
        <f>$C$32</f>
        <v>15</v>
      </c>
      <c r="S30" s="45">
        <v>230</v>
      </c>
      <c r="T30" s="45">
        <f t="shared" si="4"/>
        <v>27.918467333813421</v>
      </c>
      <c r="U30" s="45">
        <f t="shared" si="13"/>
        <v>3.5644830871376348E-2</v>
      </c>
      <c r="V30" s="45">
        <f t="shared" si="0"/>
        <v>7.0019107774903666E-2</v>
      </c>
      <c r="W30" s="671"/>
      <c r="Y30" s="271" t="s">
        <v>31</v>
      </c>
      <c r="Z30" s="231" t="s">
        <v>235</v>
      </c>
      <c r="AA30" s="232" t="s">
        <v>247</v>
      </c>
      <c r="AB30" s="232">
        <f t="shared" si="5"/>
        <v>0.01</v>
      </c>
      <c r="AC30" s="232">
        <v>0.5</v>
      </c>
      <c r="AD30" s="232">
        <f t="shared" si="1"/>
        <v>0.505</v>
      </c>
      <c r="AE30" s="232" t="s">
        <v>44</v>
      </c>
      <c r="AF30" s="232">
        <f t="shared" si="14"/>
        <v>3</v>
      </c>
      <c r="AG30" s="232">
        <v>1</v>
      </c>
      <c r="AH30" s="232" t="s">
        <v>9</v>
      </c>
      <c r="AI30" s="232">
        <f t="shared" si="15"/>
        <v>2</v>
      </c>
      <c r="AJ30" s="232">
        <f t="shared" si="6"/>
        <v>1.75</v>
      </c>
      <c r="AK30" s="232">
        <f t="shared" si="7"/>
        <v>4.75</v>
      </c>
      <c r="AL30" s="232">
        <f t="shared" si="2"/>
        <v>45</v>
      </c>
      <c r="AM30" s="232">
        <f t="shared" si="8"/>
        <v>0.83333333333333326</v>
      </c>
      <c r="AN30" s="233">
        <f t="shared" si="3"/>
        <v>1.9989583333333334</v>
      </c>
      <c r="AO30" s="673"/>
      <c r="AP30" s="224"/>
      <c r="AQ30" s="272" t="s">
        <v>31</v>
      </c>
      <c r="AR30" s="273">
        <f t="shared" si="9"/>
        <v>67031250</v>
      </c>
      <c r="AS30" s="273">
        <f t="shared" si="10"/>
        <v>7.0019107774903666E-2</v>
      </c>
      <c r="AT30" s="273">
        <f t="shared" si="11"/>
        <v>1.9989583333333334</v>
      </c>
      <c r="AU30" s="273">
        <v>1</v>
      </c>
      <c r="AV30" s="273">
        <f t="shared" si="12"/>
        <v>9382047.6065750681</v>
      </c>
      <c r="AW30" s="671"/>
      <c r="AX30" s="671"/>
      <c r="AY30" s="624"/>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row>
    <row r="31" spans="1:99" ht="18.75" x14ac:dyDescent="0.3">
      <c r="B31" s="107" t="s">
        <v>202</v>
      </c>
      <c r="C31" s="61">
        <f>'Input sheet'!D29</f>
        <v>15</v>
      </c>
      <c r="E31" s="687"/>
      <c r="F31" s="688"/>
      <c r="G31" s="688"/>
      <c r="H31" s="688"/>
      <c r="I31" s="689"/>
      <c r="K31" s="271" t="s">
        <v>32</v>
      </c>
      <c r="L31" s="109" t="s">
        <v>129</v>
      </c>
      <c r="M31" s="228">
        <f>C13*C8</f>
        <v>132031250</v>
      </c>
      <c r="N31" s="671"/>
      <c r="P31" s="272" t="s">
        <v>32</v>
      </c>
      <c r="Q31" s="45">
        <f>$C$30</f>
        <v>20</v>
      </c>
      <c r="R31" s="45">
        <f>$C$29</f>
        <v>45</v>
      </c>
      <c r="S31" s="45">
        <v>230</v>
      </c>
      <c r="T31" s="45">
        <f t="shared" si="4"/>
        <v>29.924979939156898</v>
      </c>
      <c r="U31" s="45">
        <f t="shared" si="13"/>
        <v>4.6369867746318419E-2</v>
      </c>
      <c r="V31" s="45">
        <f t="shared" si="0"/>
        <v>9.0589570857825777E-2</v>
      </c>
      <c r="W31" s="671"/>
      <c r="Y31" s="271" t="s">
        <v>32</v>
      </c>
      <c r="Z31" s="231" t="s">
        <v>235</v>
      </c>
      <c r="AA31" s="232" t="s">
        <v>247</v>
      </c>
      <c r="AB31" s="232">
        <f t="shared" si="5"/>
        <v>0.01</v>
      </c>
      <c r="AC31" s="232">
        <v>0.5</v>
      </c>
      <c r="AD31" s="232">
        <f t="shared" si="1"/>
        <v>0.505</v>
      </c>
      <c r="AE31" s="232" t="s">
        <v>45</v>
      </c>
      <c r="AF31" s="232">
        <f t="shared" si="14"/>
        <v>3</v>
      </c>
      <c r="AG31" s="232">
        <v>1</v>
      </c>
      <c r="AH31" s="232" t="s">
        <v>15</v>
      </c>
      <c r="AI31" s="232">
        <f t="shared" si="15"/>
        <v>1</v>
      </c>
      <c r="AJ31" s="232">
        <f t="shared" si="6"/>
        <v>1</v>
      </c>
      <c r="AK31" s="232">
        <f t="shared" si="7"/>
        <v>4</v>
      </c>
      <c r="AL31" s="232">
        <f t="shared" si="2"/>
        <v>45</v>
      </c>
      <c r="AM31" s="232">
        <f t="shared" si="8"/>
        <v>0.83333333333333326</v>
      </c>
      <c r="AN31" s="233">
        <f t="shared" si="3"/>
        <v>1.6833333333333331</v>
      </c>
      <c r="AO31" s="673"/>
      <c r="AP31" s="224"/>
      <c r="AQ31" s="272" t="s">
        <v>32</v>
      </c>
      <c r="AR31" s="273">
        <f t="shared" si="9"/>
        <v>132031250</v>
      </c>
      <c r="AS31" s="273">
        <f t="shared" si="10"/>
        <v>9.0589570857825777E-2</v>
      </c>
      <c r="AT31" s="273">
        <f t="shared" si="11"/>
        <v>1.6833333333333331</v>
      </c>
      <c r="AU31" s="273">
        <v>1</v>
      </c>
      <c r="AV31" s="273">
        <f t="shared" si="12"/>
        <v>20133768.03349255</v>
      </c>
      <c r="AW31" s="671"/>
      <c r="AX31" s="671"/>
      <c r="AY31" s="624"/>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row>
    <row r="32" spans="1:99" ht="18.75" customHeight="1" x14ac:dyDescent="0.3">
      <c r="B32" s="109" t="s">
        <v>203</v>
      </c>
      <c r="C32" s="108">
        <f>'Input sheet'!D30</f>
        <v>15</v>
      </c>
      <c r="E32" s="687"/>
      <c r="F32" s="688"/>
      <c r="G32" s="688"/>
      <c r="H32" s="688"/>
      <c r="I32" s="689"/>
      <c r="K32" s="271" t="s">
        <v>33</v>
      </c>
      <c r="L32" s="109" t="s">
        <v>130</v>
      </c>
      <c r="M32" s="228">
        <f>C16*C8</f>
        <v>67031250</v>
      </c>
      <c r="N32" s="671"/>
      <c r="P32" s="272" t="s">
        <v>33</v>
      </c>
      <c r="Q32" s="45">
        <f>$C$30</f>
        <v>20</v>
      </c>
      <c r="R32" s="45">
        <f>$C$32</f>
        <v>15</v>
      </c>
      <c r="S32" s="45">
        <v>230</v>
      </c>
      <c r="T32" s="45">
        <f t="shared" si="4"/>
        <v>15.895538413434787</v>
      </c>
      <c r="U32" s="45">
        <f t="shared" si="13"/>
        <v>4.2160006424573982E-3</v>
      </c>
      <c r="V32" s="45">
        <f t="shared" si="0"/>
        <v>8.4142266234975959E-3</v>
      </c>
      <c r="W32" s="671"/>
      <c r="Y32" s="271" t="s">
        <v>33</v>
      </c>
      <c r="Z32" s="231" t="s">
        <v>235</v>
      </c>
      <c r="AA32" s="232" t="s">
        <v>247</v>
      </c>
      <c r="AB32" s="232">
        <f t="shared" si="5"/>
        <v>0.01</v>
      </c>
      <c r="AC32" s="232">
        <v>0.5</v>
      </c>
      <c r="AD32" s="232">
        <f t="shared" si="1"/>
        <v>0.505</v>
      </c>
      <c r="AE32" s="232" t="s">
        <v>234</v>
      </c>
      <c r="AF32" s="232">
        <f t="shared" si="14"/>
        <v>4</v>
      </c>
      <c r="AG32" s="232">
        <v>0</v>
      </c>
      <c r="AH32" s="232" t="s">
        <v>18</v>
      </c>
      <c r="AI32" s="232">
        <f t="shared" si="15"/>
        <v>1</v>
      </c>
      <c r="AJ32" s="232">
        <f t="shared" si="6"/>
        <v>0</v>
      </c>
      <c r="AK32" s="232">
        <f t="shared" si="7"/>
        <v>4</v>
      </c>
      <c r="AL32" s="232">
        <f t="shared" si="2"/>
        <v>45</v>
      </c>
      <c r="AM32" s="232">
        <f t="shared" si="8"/>
        <v>0.83333333333333326</v>
      </c>
      <c r="AN32" s="233">
        <f t="shared" si="3"/>
        <v>1.6833333333333331</v>
      </c>
      <c r="AO32" s="673"/>
      <c r="AP32" s="224"/>
      <c r="AQ32" s="272" t="s">
        <v>33</v>
      </c>
      <c r="AR32" s="273">
        <f t="shared" si="9"/>
        <v>67031250</v>
      </c>
      <c r="AS32" s="273">
        <f t="shared" si="10"/>
        <v>8.4142266234975959E-3</v>
      </c>
      <c r="AT32" s="273">
        <f t="shared" si="11"/>
        <v>1.6833333333333331</v>
      </c>
      <c r="AU32" s="273">
        <v>1</v>
      </c>
      <c r="AV32" s="273">
        <f t="shared" si="12"/>
        <v>949427.1493998107</v>
      </c>
      <c r="AW32" s="671"/>
      <c r="AX32" s="671"/>
      <c r="AY32" s="624"/>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row>
    <row r="33" spans="1:51" ht="19.5" thickBot="1" x14ac:dyDescent="0.35">
      <c r="B33" s="105" t="s">
        <v>204</v>
      </c>
      <c r="C33" s="94">
        <f>'Input sheet'!D31</f>
        <v>25</v>
      </c>
      <c r="E33" s="690"/>
      <c r="F33" s="691"/>
      <c r="G33" s="691"/>
      <c r="H33" s="691"/>
      <c r="I33" s="692"/>
      <c r="K33" s="271" t="s">
        <v>34</v>
      </c>
      <c r="L33" s="109" t="s">
        <v>131</v>
      </c>
      <c r="M33" s="228">
        <f>C16*C11</f>
        <v>34031250</v>
      </c>
      <c r="N33" s="671"/>
      <c r="P33" s="272" t="s">
        <v>34</v>
      </c>
      <c r="Q33" s="45">
        <f>$C$32</f>
        <v>15</v>
      </c>
      <c r="R33" s="45">
        <f>$C$33</f>
        <v>25</v>
      </c>
      <c r="S33" s="45">
        <v>230</v>
      </c>
      <c r="T33" s="45">
        <f t="shared" si="4"/>
        <v>18.248908921254063</v>
      </c>
      <c r="U33" s="45">
        <f t="shared" si="13"/>
        <v>7.1146798558078322E-3</v>
      </c>
      <c r="V33" s="45">
        <f t="shared" si="0"/>
        <v>1.4178741042165027E-2</v>
      </c>
      <c r="W33" s="671"/>
      <c r="Y33" s="271" t="s">
        <v>34</v>
      </c>
      <c r="Z33" s="231" t="s">
        <v>235</v>
      </c>
      <c r="AA33" s="232" t="s">
        <v>247</v>
      </c>
      <c r="AB33" s="232">
        <f t="shared" si="5"/>
        <v>0.01</v>
      </c>
      <c r="AC33" s="232">
        <v>0.5</v>
      </c>
      <c r="AD33" s="232">
        <f t="shared" si="1"/>
        <v>0.505</v>
      </c>
      <c r="AE33" s="232" t="s">
        <v>37</v>
      </c>
      <c r="AF33" s="232">
        <f t="shared" si="14"/>
        <v>3</v>
      </c>
      <c r="AG33" s="232">
        <v>1</v>
      </c>
      <c r="AH33" s="232" t="s">
        <v>12</v>
      </c>
      <c r="AI33" s="232">
        <f t="shared" si="15"/>
        <v>2</v>
      </c>
      <c r="AJ33" s="232">
        <f t="shared" si="6"/>
        <v>1.75</v>
      </c>
      <c r="AK33" s="232">
        <f t="shared" si="7"/>
        <v>4.75</v>
      </c>
      <c r="AL33" s="232">
        <f t="shared" si="2"/>
        <v>45</v>
      </c>
      <c r="AM33" s="232">
        <f t="shared" si="8"/>
        <v>0.83333333333333326</v>
      </c>
      <c r="AN33" s="233">
        <f t="shared" si="3"/>
        <v>1.9989583333333334</v>
      </c>
      <c r="AO33" s="673"/>
      <c r="AP33" s="224"/>
      <c r="AQ33" s="272" t="s">
        <v>34</v>
      </c>
      <c r="AR33" s="273">
        <f t="shared" si="9"/>
        <v>34031250</v>
      </c>
      <c r="AS33" s="273">
        <f t="shared" si="10"/>
        <v>1.4178741042165027E-2</v>
      </c>
      <c r="AT33" s="273">
        <f t="shared" si="11"/>
        <v>1.9989583333333334</v>
      </c>
      <c r="AU33" s="273">
        <v>1</v>
      </c>
      <c r="AV33" s="273">
        <f t="shared" si="12"/>
        <v>964537.93688955379</v>
      </c>
      <c r="AW33" s="671"/>
      <c r="AX33" s="671"/>
      <c r="AY33" s="624"/>
    </row>
    <row r="34" spans="1:51" ht="19.5" thickTop="1" x14ac:dyDescent="0.3">
      <c r="K34" s="271" t="s">
        <v>35</v>
      </c>
      <c r="L34" s="109" t="s">
        <v>132</v>
      </c>
      <c r="M34" s="228">
        <f>C17*C14</f>
        <v>33515625</v>
      </c>
      <c r="N34" s="671"/>
      <c r="P34" s="272" t="s">
        <v>35</v>
      </c>
      <c r="Q34" s="45">
        <f>$C$33</f>
        <v>25</v>
      </c>
      <c r="R34" s="45">
        <f>$C$30</f>
        <v>20</v>
      </c>
      <c r="S34" s="45">
        <v>230</v>
      </c>
      <c r="T34" s="45">
        <f t="shared" si="4"/>
        <v>20.419277715473552</v>
      </c>
      <c r="U34" s="45">
        <f t="shared" si="13"/>
        <v>1.089232327256362E-2</v>
      </c>
      <c r="V34" s="45">
        <f t="shared" si="0"/>
        <v>2.1666003838853209E-2</v>
      </c>
      <c r="W34" s="671"/>
      <c r="Y34" s="271" t="s">
        <v>35</v>
      </c>
      <c r="Z34" s="231" t="s">
        <v>235</v>
      </c>
      <c r="AA34" s="232" t="s">
        <v>247</v>
      </c>
      <c r="AB34" s="232">
        <f t="shared" si="5"/>
        <v>0.01</v>
      </c>
      <c r="AC34" s="232">
        <v>0.5</v>
      </c>
      <c r="AD34" s="232">
        <f t="shared" si="1"/>
        <v>0.505</v>
      </c>
      <c r="AE34" s="232" t="s">
        <v>44</v>
      </c>
      <c r="AF34" s="232">
        <f t="shared" si="14"/>
        <v>3</v>
      </c>
      <c r="AG34" s="232">
        <v>0</v>
      </c>
      <c r="AH34" s="232" t="s">
        <v>9</v>
      </c>
      <c r="AI34" s="232">
        <f t="shared" si="15"/>
        <v>2</v>
      </c>
      <c r="AJ34" s="232">
        <f t="shared" si="6"/>
        <v>0</v>
      </c>
      <c r="AK34" s="232">
        <f t="shared" si="7"/>
        <v>3</v>
      </c>
      <c r="AL34" s="232">
        <f t="shared" si="2"/>
        <v>45</v>
      </c>
      <c r="AM34" s="232">
        <f t="shared" si="8"/>
        <v>0.83333333333333326</v>
      </c>
      <c r="AN34" s="233">
        <f t="shared" si="3"/>
        <v>1.2625</v>
      </c>
      <c r="AO34" s="673"/>
      <c r="AP34" s="224"/>
      <c r="AQ34" s="272" t="s">
        <v>35</v>
      </c>
      <c r="AR34" s="273">
        <f t="shared" si="9"/>
        <v>33515625</v>
      </c>
      <c r="AS34" s="273">
        <f t="shared" si="10"/>
        <v>2.1666003838853209E-2</v>
      </c>
      <c r="AT34" s="273">
        <f t="shared" si="11"/>
        <v>1.2625</v>
      </c>
      <c r="AU34" s="273">
        <v>1</v>
      </c>
      <c r="AV34" s="273">
        <f t="shared" si="12"/>
        <v>916763.94563835021</v>
      </c>
      <c r="AW34" s="671"/>
      <c r="AX34" s="671"/>
      <c r="AY34" s="624"/>
    </row>
    <row r="35" spans="1:51" ht="18.75" x14ac:dyDescent="0.3">
      <c r="K35" s="271" t="s">
        <v>36</v>
      </c>
      <c r="L35" s="109" t="s">
        <v>133</v>
      </c>
      <c r="M35" s="228">
        <f>C17*C8</f>
        <v>33515625</v>
      </c>
      <c r="N35" s="671"/>
      <c r="P35" s="272" t="s">
        <v>36</v>
      </c>
      <c r="Q35" s="45">
        <f>$C$30</f>
        <v>20</v>
      </c>
      <c r="R35" s="45">
        <f>$C$32</f>
        <v>15</v>
      </c>
      <c r="S35" s="45">
        <v>230</v>
      </c>
      <c r="T35" s="45">
        <f t="shared" si="4"/>
        <v>15.895538413434787</v>
      </c>
      <c r="U35" s="45">
        <f t="shared" si="13"/>
        <v>4.2160006424573982E-3</v>
      </c>
      <c r="V35" s="45">
        <f t="shared" si="0"/>
        <v>8.4142266234975959E-3</v>
      </c>
      <c r="W35" s="671"/>
      <c r="Y35" s="271" t="s">
        <v>36</v>
      </c>
      <c r="Z35" s="231" t="s">
        <v>235</v>
      </c>
      <c r="AA35" s="232" t="s">
        <v>247</v>
      </c>
      <c r="AB35" s="232">
        <f t="shared" si="5"/>
        <v>0.01</v>
      </c>
      <c r="AC35" s="232">
        <v>0.5</v>
      </c>
      <c r="AD35" s="232">
        <f t="shared" si="1"/>
        <v>0.505</v>
      </c>
      <c r="AE35" s="232" t="s">
        <v>44</v>
      </c>
      <c r="AF35" s="232">
        <f t="shared" si="14"/>
        <v>3</v>
      </c>
      <c r="AG35" s="232">
        <v>0</v>
      </c>
      <c r="AH35" s="232" t="s">
        <v>9</v>
      </c>
      <c r="AI35" s="232">
        <f t="shared" si="15"/>
        <v>2</v>
      </c>
      <c r="AJ35" s="232">
        <f t="shared" si="6"/>
        <v>0</v>
      </c>
      <c r="AK35" s="232">
        <f t="shared" si="7"/>
        <v>3</v>
      </c>
      <c r="AL35" s="232">
        <f t="shared" si="2"/>
        <v>45</v>
      </c>
      <c r="AM35" s="232">
        <f t="shared" si="8"/>
        <v>0.83333333333333326</v>
      </c>
      <c r="AN35" s="233">
        <f t="shared" si="3"/>
        <v>1.2625</v>
      </c>
      <c r="AO35" s="673"/>
      <c r="AP35" s="224"/>
      <c r="AQ35" s="272" t="s">
        <v>36</v>
      </c>
      <c r="AR35" s="273">
        <f t="shared" si="9"/>
        <v>33515625</v>
      </c>
      <c r="AS35" s="273">
        <f t="shared" si="10"/>
        <v>8.4142266234975959E-3</v>
      </c>
      <c r="AT35" s="273">
        <f t="shared" si="11"/>
        <v>1.2625</v>
      </c>
      <c r="AU35" s="273">
        <v>1</v>
      </c>
      <c r="AV35" s="273">
        <f t="shared" si="12"/>
        <v>356035.18102492904</v>
      </c>
      <c r="AW35" s="671"/>
      <c r="AX35" s="671"/>
      <c r="AY35" s="624"/>
    </row>
    <row r="36" spans="1:51" ht="18.75" x14ac:dyDescent="0.3">
      <c r="J36" s="98"/>
      <c r="K36" s="271" t="s">
        <v>42</v>
      </c>
      <c r="L36" s="109" t="s">
        <v>134</v>
      </c>
      <c r="M36" s="228">
        <f>C11*C8</f>
        <v>33515625</v>
      </c>
      <c r="N36" s="671"/>
      <c r="P36" s="272" t="s">
        <v>42</v>
      </c>
      <c r="Q36" s="45">
        <f>$C$33</f>
        <v>25</v>
      </c>
      <c r="R36" s="45">
        <f>$C$30</f>
        <v>20</v>
      </c>
      <c r="S36" s="45">
        <v>230</v>
      </c>
      <c r="T36" s="45">
        <f t="shared" si="4"/>
        <v>20.419277715473552</v>
      </c>
      <c r="U36" s="45">
        <f t="shared" si="13"/>
        <v>1.089232327256362E-2</v>
      </c>
      <c r="V36" s="45">
        <f t="shared" si="0"/>
        <v>2.1666003838853209E-2</v>
      </c>
      <c r="W36" s="671"/>
      <c r="Y36" s="271" t="s">
        <v>42</v>
      </c>
      <c r="Z36" s="231" t="s">
        <v>235</v>
      </c>
      <c r="AA36" s="232" t="s">
        <v>247</v>
      </c>
      <c r="AB36" s="232">
        <f t="shared" si="5"/>
        <v>0.01</v>
      </c>
      <c r="AC36" s="232">
        <v>0.5</v>
      </c>
      <c r="AD36" s="232">
        <f t="shared" si="1"/>
        <v>0.505</v>
      </c>
      <c r="AE36" s="232" t="s">
        <v>37</v>
      </c>
      <c r="AF36" s="232">
        <f t="shared" si="14"/>
        <v>3</v>
      </c>
      <c r="AG36" s="232">
        <v>0</v>
      </c>
      <c r="AH36" s="232" t="s">
        <v>12</v>
      </c>
      <c r="AI36" s="232">
        <f t="shared" si="15"/>
        <v>2</v>
      </c>
      <c r="AJ36" s="232">
        <f t="shared" si="6"/>
        <v>0</v>
      </c>
      <c r="AK36" s="232">
        <f t="shared" si="7"/>
        <v>3</v>
      </c>
      <c r="AL36" s="232">
        <f t="shared" si="2"/>
        <v>45</v>
      </c>
      <c r="AM36" s="232">
        <f t="shared" si="8"/>
        <v>0.83333333333333326</v>
      </c>
      <c r="AN36" s="233">
        <f t="shared" si="3"/>
        <v>1.2625</v>
      </c>
      <c r="AO36" s="673"/>
      <c r="AP36" s="224"/>
      <c r="AQ36" s="272" t="s">
        <v>42</v>
      </c>
      <c r="AR36" s="273">
        <f t="shared" si="9"/>
        <v>33515625</v>
      </c>
      <c r="AS36" s="273">
        <f t="shared" si="10"/>
        <v>2.1666003838853209E-2</v>
      </c>
      <c r="AT36" s="273">
        <f t="shared" si="11"/>
        <v>1.2625</v>
      </c>
      <c r="AU36" s="273">
        <v>1</v>
      </c>
      <c r="AV36" s="273">
        <f t="shared" si="12"/>
        <v>916763.94563835021</v>
      </c>
      <c r="AW36" s="671"/>
      <c r="AX36" s="671"/>
      <c r="AY36" s="624"/>
    </row>
    <row r="37" spans="1:51" ht="19.5" thickBot="1" x14ac:dyDescent="0.35">
      <c r="D37" s="98"/>
      <c r="J37" s="98"/>
      <c r="K37" s="235" t="s">
        <v>43</v>
      </c>
      <c r="L37" s="105" t="s">
        <v>135</v>
      </c>
      <c r="M37" s="245">
        <f>C11*C14</f>
        <v>33515625</v>
      </c>
      <c r="N37" s="461"/>
      <c r="P37" s="274" t="s">
        <v>43</v>
      </c>
      <c r="Q37" s="46">
        <f>$C$30</f>
        <v>20</v>
      </c>
      <c r="R37" s="46">
        <f>$C$32</f>
        <v>15</v>
      </c>
      <c r="S37" s="46">
        <v>230</v>
      </c>
      <c r="T37" s="46">
        <f t="shared" si="4"/>
        <v>15.895538413434787</v>
      </c>
      <c r="U37" s="46">
        <f t="shared" si="13"/>
        <v>4.2160006424573982E-3</v>
      </c>
      <c r="V37" s="46">
        <f t="shared" si="0"/>
        <v>8.4142266234975959E-3</v>
      </c>
      <c r="W37" s="461"/>
      <c r="Y37" s="235" t="s">
        <v>43</v>
      </c>
      <c r="Z37" s="265" t="s">
        <v>235</v>
      </c>
      <c r="AA37" s="249" t="s">
        <v>247</v>
      </c>
      <c r="AB37" s="249">
        <f t="shared" si="5"/>
        <v>0.01</v>
      </c>
      <c r="AC37" s="249">
        <v>0.5</v>
      </c>
      <c r="AD37" s="249">
        <f t="shared" si="1"/>
        <v>0.505</v>
      </c>
      <c r="AE37" s="249" t="s">
        <v>37</v>
      </c>
      <c r="AF37" s="249">
        <f t="shared" si="14"/>
        <v>3</v>
      </c>
      <c r="AG37" s="249">
        <v>0</v>
      </c>
      <c r="AH37" s="249" t="s">
        <v>12</v>
      </c>
      <c r="AI37" s="249">
        <f t="shared" si="15"/>
        <v>2</v>
      </c>
      <c r="AJ37" s="249">
        <f t="shared" si="6"/>
        <v>0</v>
      </c>
      <c r="AK37" s="249">
        <f t="shared" si="7"/>
        <v>3</v>
      </c>
      <c r="AL37" s="249">
        <f t="shared" si="2"/>
        <v>45</v>
      </c>
      <c r="AM37" s="249">
        <f t="shared" si="8"/>
        <v>0.83333333333333326</v>
      </c>
      <c r="AN37" s="250">
        <f t="shared" si="3"/>
        <v>1.2625</v>
      </c>
      <c r="AO37" s="674"/>
      <c r="AP37" s="224"/>
      <c r="AQ37" s="274" t="s">
        <v>43</v>
      </c>
      <c r="AR37" s="275">
        <f t="shared" si="9"/>
        <v>33515625</v>
      </c>
      <c r="AS37" s="275">
        <f t="shared" si="10"/>
        <v>8.4142266234975959E-3</v>
      </c>
      <c r="AT37" s="275">
        <f t="shared" si="11"/>
        <v>1.2625</v>
      </c>
      <c r="AU37" s="275">
        <v>1</v>
      </c>
      <c r="AV37" s="275">
        <f t="shared" si="12"/>
        <v>356035.18102492904</v>
      </c>
      <c r="AW37" s="461"/>
      <c r="AX37" s="461"/>
      <c r="AY37" s="625"/>
    </row>
    <row r="38" spans="1:51" ht="20.25" thickTop="1" thickBot="1" x14ac:dyDescent="0.35">
      <c r="C38" s="29"/>
      <c r="D38" s="32"/>
      <c r="E38" s="32"/>
      <c r="L38" s="261"/>
      <c r="M38" s="261"/>
      <c r="X38" s="33"/>
    </row>
    <row r="39" spans="1:51" ht="18.75" x14ac:dyDescent="0.3">
      <c r="A39" s="34" t="s">
        <v>52</v>
      </c>
      <c r="B39" s="34"/>
      <c r="C39" s="34"/>
      <c r="D39" s="34"/>
      <c r="E39" s="34"/>
      <c r="F39" s="34"/>
      <c r="G39" s="34"/>
      <c r="H39" s="34"/>
      <c r="I39" s="35"/>
      <c r="J39" s="35"/>
      <c r="K39" s="36"/>
      <c r="L39" s="37"/>
      <c r="M39" s="37"/>
      <c r="N39" s="35"/>
      <c r="O39" s="35"/>
      <c r="P39" s="38"/>
      <c r="Q39" s="39"/>
      <c r="T39" s="33"/>
    </row>
    <row r="40" spans="1:51" ht="15.75" thickBot="1" x14ac:dyDescent="0.3">
      <c r="B40" s="17" t="s">
        <v>69</v>
      </c>
      <c r="P40" s="40"/>
      <c r="Q40" s="39"/>
    </row>
    <row r="41" spans="1:51" ht="16.5" thickTop="1" thickBot="1" x14ac:dyDescent="0.3">
      <c r="A41" s="329" t="s">
        <v>3</v>
      </c>
      <c r="B41" s="19" t="s">
        <v>5</v>
      </c>
      <c r="C41" s="20" t="s">
        <v>38</v>
      </c>
      <c r="D41" s="21" t="s">
        <v>53</v>
      </c>
      <c r="E41" s="22" t="s">
        <v>48</v>
      </c>
      <c r="F41" s="18" t="s">
        <v>2</v>
      </c>
      <c r="P41" s="40"/>
      <c r="Q41" s="39"/>
    </row>
    <row r="42" spans="1:51" ht="16.5" thickTop="1" thickBot="1" x14ac:dyDescent="0.3">
      <c r="A42" s="326">
        <v>1</v>
      </c>
      <c r="B42" s="24" t="s">
        <v>67</v>
      </c>
      <c r="C42" s="25">
        <v>8</v>
      </c>
      <c r="D42" s="26">
        <v>8</v>
      </c>
      <c r="E42" s="27">
        <v>16</v>
      </c>
      <c r="F42" s="28">
        <f>SUM(C42:E42)</f>
        <v>32</v>
      </c>
      <c r="P42" s="40"/>
      <c r="Q42" s="39"/>
    </row>
    <row r="43" spans="1:51" ht="15.75" thickTop="1" x14ac:dyDescent="0.25">
      <c r="A43" s="327"/>
      <c r="B43" s="308"/>
      <c r="C43" s="325"/>
      <c r="D43" s="325"/>
      <c r="E43" s="325"/>
      <c r="F43" s="325"/>
      <c r="P43" s="40"/>
      <c r="Q43" s="39"/>
    </row>
    <row r="44" spans="1:51" x14ac:dyDescent="0.25">
      <c r="P44" s="40"/>
      <c r="Q44" s="39"/>
    </row>
    <row r="45" spans="1:51" ht="15.75" thickBot="1" x14ac:dyDescent="0.3">
      <c r="B45" s="306" t="s">
        <v>316</v>
      </c>
      <c r="C45" s="306"/>
      <c r="D45" s="306"/>
      <c r="E45" s="306"/>
      <c r="F45" s="306"/>
      <c r="G45" s="306"/>
      <c r="K45" s="9"/>
      <c r="P45" s="40"/>
      <c r="Q45" s="39"/>
    </row>
    <row r="46" spans="1:51" ht="16.5" thickTop="1" thickBot="1" x14ac:dyDescent="0.3">
      <c r="A46" s="697" t="s">
        <v>260</v>
      </c>
      <c r="B46" s="477" t="s">
        <v>186</v>
      </c>
      <c r="C46" s="479" t="s">
        <v>297</v>
      </c>
      <c r="D46" s="481" t="s">
        <v>298</v>
      </c>
      <c r="E46" s="481"/>
      <c r="F46" s="481"/>
      <c r="G46" s="481"/>
      <c r="K46" s="9"/>
      <c r="P46" s="40"/>
      <c r="Q46" s="39"/>
    </row>
    <row r="47" spans="1:51" ht="16.5" thickTop="1" thickBot="1" x14ac:dyDescent="0.3">
      <c r="A47" s="698"/>
      <c r="B47" s="478"/>
      <c r="C47" s="480"/>
      <c r="D47" s="277" t="s">
        <v>313</v>
      </c>
      <c r="E47" s="277" t="s">
        <v>46</v>
      </c>
      <c r="F47" s="277" t="s">
        <v>53</v>
      </c>
      <c r="G47" s="277" t="s">
        <v>1</v>
      </c>
      <c r="K47" s="9"/>
      <c r="P47" s="40"/>
      <c r="Q47" s="39"/>
    </row>
    <row r="48" spans="1:51" ht="16.5" thickTop="1" thickBot="1" x14ac:dyDescent="0.3">
      <c r="A48" s="328">
        <f t="shared" ref="A48:G48" si="17">AI92</f>
        <v>1</v>
      </c>
      <c r="B48" s="31" t="str">
        <f t="shared" si="17"/>
        <v>Conventional</v>
      </c>
      <c r="C48" s="309">
        <f t="shared" si="17"/>
        <v>6.1754587307298294</v>
      </c>
      <c r="D48" s="309" t="str">
        <f t="shared" si="17"/>
        <v xml:space="preserve">na </v>
      </c>
      <c r="E48" s="309">
        <f t="shared" si="17"/>
        <v>75.979972733596554</v>
      </c>
      <c r="F48" s="309">
        <f t="shared" si="17"/>
        <v>70.612856334436529</v>
      </c>
      <c r="G48" s="309">
        <f t="shared" si="17"/>
        <v>4.3895980938169862E-2</v>
      </c>
      <c r="K48" s="9"/>
      <c r="P48" s="40"/>
    </row>
    <row r="49" spans="1:16" ht="15.75" thickTop="1" x14ac:dyDescent="0.25">
      <c r="K49" s="9"/>
      <c r="P49" s="40"/>
    </row>
    <row r="50" spans="1:16" x14ac:dyDescent="0.25">
      <c r="K50" s="9"/>
      <c r="P50" s="40"/>
    </row>
    <row r="51" spans="1:16" ht="15.75" thickBot="1" x14ac:dyDescent="0.3">
      <c r="B51" s="306" t="s">
        <v>317</v>
      </c>
      <c r="C51" s="306"/>
      <c r="D51" s="306"/>
      <c r="E51" s="306"/>
      <c r="F51" s="306"/>
      <c r="G51" s="306"/>
      <c r="H51" s="306"/>
      <c r="I51" s="306"/>
      <c r="J51" s="306"/>
      <c r="K51" s="306"/>
      <c r="L51" s="306"/>
      <c r="M51" s="306"/>
      <c r="N51" s="306"/>
      <c r="P51" s="40"/>
    </row>
    <row r="52" spans="1:16" ht="16.5" thickTop="1" thickBot="1" x14ac:dyDescent="0.3">
      <c r="A52" s="697" t="s">
        <v>260</v>
      </c>
      <c r="B52" s="477" t="s">
        <v>186</v>
      </c>
      <c r="C52" s="482" t="s">
        <v>314</v>
      </c>
      <c r="D52" s="482"/>
      <c r="E52" s="482"/>
      <c r="F52" s="482"/>
      <c r="G52" s="481" t="s">
        <v>315</v>
      </c>
      <c r="H52" s="481"/>
      <c r="I52" s="481"/>
      <c r="J52" s="481"/>
      <c r="K52" s="479" t="s">
        <v>301</v>
      </c>
      <c r="L52" s="479"/>
      <c r="M52" s="479"/>
      <c r="N52" s="479"/>
      <c r="P52" s="40"/>
    </row>
    <row r="53" spans="1:16" ht="16.5" thickTop="1" thickBot="1" x14ac:dyDescent="0.3">
      <c r="A53" s="698"/>
      <c r="B53" s="478"/>
      <c r="C53" s="305" t="s">
        <v>303</v>
      </c>
      <c r="D53" s="305" t="s">
        <v>185</v>
      </c>
      <c r="E53" s="305" t="s">
        <v>184</v>
      </c>
      <c r="F53" s="305" t="s">
        <v>304</v>
      </c>
      <c r="G53" s="305" t="s">
        <v>303</v>
      </c>
      <c r="H53" s="305" t="s">
        <v>185</v>
      </c>
      <c r="I53" s="305" t="s">
        <v>184</v>
      </c>
      <c r="J53" s="305" t="s">
        <v>304</v>
      </c>
      <c r="K53" s="305" t="s">
        <v>303</v>
      </c>
      <c r="L53" s="305" t="s">
        <v>185</v>
      </c>
      <c r="M53" s="305" t="s">
        <v>184</v>
      </c>
      <c r="N53" s="305" t="s">
        <v>304</v>
      </c>
      <c r="P53" s="40"/>
    </row>
    <row r="54" spans="1:16" ht="16.5" thickTop="1" thickBot="1" x14ac:dyDescent="0.3">
      <c r="A54" s="328">
        <f t="shared" ref="A54:N54" si="18">AQ92</f>
        <v>1</v>
      </c>
      <c r="B54" s="31" t="str">
        <f t="shared" si="18"/>
        <v>Conventional</v>
      </c>
      <c r="C54" s="303" t="str">
        <f t="shared" si="18"/>
        <v>na</v>
      </c>
      <c r="D54" s="324">
        <f t="shared" si="18"/>
        <v>1</v>
      </c>
      <c r="E54" s="324">
        <f t="shared" si="18"/>
        <v>1</v>
      </c>
      <c r="F54" s="324">
        <f t="shared" si="18"/>
        <v>1</v>
      </c>
      <c r="G54" s="303" t="str">
        <f t="shared" si="18"/>
        <v>na</v>
      </c>
      <c r="H54" s="324">
        <f t="shared" si="18"/>
        <v>2.6818053976420545E-3</v>
      </c>
      <c r="I54" s="324">
        <f t="shared" si="18"/>
        <v>6.1337802805268137E-3</v>
      </c>
      <c r="J54" s="324">
        <f t="shared" si="18"/>
        <v>3.7879772717812232E-2</v>
      </c>
      <c r="K54" s="303" t="str">
        <f t="shared" si="18"/>
        <v>na</v>
      </c>
      <c r="L54" s="324">
        <f t="shared" si="18"/>
        <v>1</v>
      </c>
      <c r="M54" s="324">
        <f t="shared" si="18"/>
        <v>1.5255208333333334</v>
      </c>
      <c r="N54" s="324">
        <f t="shared" si="18"/>
        <v>1.65703125</v>
      </c>
      <c r="P54" s="40"/>
    </row>
    <row r="55" spans="1:16" ht="15.75" thickTop="1" x14ac:dyDescent="0.25">
      <c r="K55" s="9"/>
      <c r="P55" s="40"/>
    </row>
    <row r="56" spans="1:16" ht="15.75" thickBot="1" x14ac:dyDescent="0.3">
      <c r="A56" s="42"/>
      <c r="B56" s="42"/>
      <c r="C56" s="42"/>
      <c r="D56" s="42"/>
      <c r="E56" s="42"/>
      <c r="F56" s="42"/>
      <c r="G56" s="42"/>
      <c r="H56" s="42"/>
      <c r="I56" s="42"/>
      <c r="J56" s="42"/>
      <c r="K56" s="42"/>
      <c r="L56" s="42"/>
      <c r="M56" s="42"/>
      <c r="N56" s="42"/>
      <c r="O56" s="42"/>
      <c r="P56" s="43"/>
    </row>
    <row r="57" spans="1:16" x14ac:dyDescent="0.25">
      <c r="K57" s="9"/>
    </row>
    <row r="58" spans="1:16" x14ac:dyDescent="0.25">
      <c r="K58" s="9"/>
    </row>
    <row r="59" spans="1:16" x14ac:dyDescent="0.25">
      <c r="K59" s="9"/>
    </row>
    <row r="60" spans="1:16" x14ac:dyDescent="0.25">
      <c r="K60" s="9"/>
    </row>
    <row r="61" spans="1:16" x14ac:dyDescent="0.25">
      <c r="K61" s="9"/>
    </row>
    <row r="62" spans="1:16" ht="20.25" customHeight="1" x14ac:dyDescent="0.25">
      <c r="K62" s="9"/>
    </row>
    <row r="63" spans="1:16" x14ac:dyDescent="0.25">
      <c r="K63" s="9"/>
    </row>
    <row r="64" spans="1:16" x14ac:dyDescent="0.25">
      <c r="K64" s="9"/>
    </row>
    <row r="65" spans="11:11" x14ac:dyDescent="0.25">
      <c r="K65" s="9"/>
    </row>
    <row r="66" spans="11:11" x14ac:dyDescent="0.25">
      <c r="K66" s="9"/>
    </row>
    <row r="67" spans="11:11" x14ac:dyDescent="0.25">
      <c r="K67" s="9"/>
    </row>
    <row r="68" spans="11:11" x14ac:dyDescent="0.25">
      <c r="K68" s="9"/>
    </row>
    <row r="69" spans="11:11" x14ac:dyDescent="0.25">
      <c r="K69" s="9"/>
    </row>
    <row r="70" spans="11:11" x14ac:dyDescent="0.25">
      <c r="K70" s="9"/>
    </row>
    <row r="71" spans="11:11" x14ac:dyDescent="0.25">
      <c r="K71" s="9"/>
    </row>
    <row r="72" spans="11:11" x14ac:dyDescent="0.25">
      <c r="K72" s="9"/>
    </row>
    <row r="73" spans="11:11" x14ac:dyDescent="0.25">
      <c r="K73" s="9"/>
    </row>
    <row r="74" spans="11:11" x14ac:dyDescent="0.25">
      <c r="K74" s="9"/>
    </row>
    <row r="75" spans="11:11" x14ac:dyDescent="0.25">
      <c r="K75" s="9"/>
    </row>
    <row r="76" spans="11:11" x14ac:dyDescent="0.25">
      <c r="K76" s="9"/>
    </row>
    <row r="83" spans="1:56" x14ac:dyDescent="0.25">
      <c r="A83" s="29"/>
      <c r="B83" s="30"/>
      <c r="C83" s="29"/>
      <c r="D83" s="29"/>
      <c r="E83" s="29"/>
      <c r="F83" s="29"/>
      <c r="G83" s="29"/>
      <c r="H83" s="29"/>
      <c r="I83" s="29"/>
      <c r="J83" s="29"/>
      <c r="K83" s="29"/>
      <c r="L83" s="29"/>
      <c r="M83" s="29"/>
      <c r="N83" s="29"/>
      <c r="O83" s="29"/>
      <c r="P83" s="29"/>
      <c r="Q83" s="29"/>
      <c r="R83" s="29"/>
    </row>
    <row r="87" spans="1:56" ht="18.75" x14ac:dyDescent="0.3">
      <c r="A87" s="29"/>
      <c r="B87" s="32"/>
      <c r="C87" s="32"/>
      <c r="I87" s="16"/>
      <c r="J87" s="23"/>
      <c r="K87" s="23"/>
      <c r="R87" s="33"/>
    </row>
    <row r="88" spans="1:56" ht="18.75" x14ac:dyDescent="0.3">
      <c r="A88" s="29"/>
      <c r="B88" s="32"/>
      <c r="C88" s="32"/>
      <c r="I88" s="16"/>
      <c r="K88" s="9"/>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AI90" s="682" t="s">
        <v>296</v>
      </c>
      <c r="AJ90" s="682" t="s">
        <v>186</v>
      </c>
      <c r="AK90" s="683" t="s">
        <v>297</v>
      </c>
      <c r="AL90" s="682" t="s">
        <v>298</v>
      </c>
      <c r="AM90" s="682"/>
      <c r="AN90" s="682"/>
      <c r="AO90" s="682"/>
      <c r="AP90" s="162"/>
      <c r="AQ90" s="682" t="s">
        <v>296</v>
      </c>
      <c r="AR90" s="680" t="s">
        <v>186</v>
      </c>
      <c r="AS90" s="681" t="s">
        <v>299</v>
      </c>
      <c r="AT90" s="681"/>
      <c r="AU90" s="681"/>
      <c r="AV90" s="681"/>
      <c r="AW90" s="682" t="s">
        <v>300</v>
      </c>
      <c r="AX90" s="682"/>
      <c r="AY90" s="682"/>
      <c r="AZ90" s="682"/>
      <c r="BA90" s="683" t="s">
        <v>301</v>
      </c>
      <c r="BB90" s="683"/>
      <c r="BC90" s="683"/>
      <c r="BD90" s="683"/>
    </row>
    <row r="91" spans="1:56" ht="16.5" thickTop="1" thickBot="1" x14ac:dyDescent="0.3">
      <c r="AI91" s="682"/>
      <c r="AJ91" s="682"/>
      <c r="AK91" s="683"/>
      <c r="AL91" s="163" t="s">
        <v>302</v>
      </c>
      <c r="AM91" s="163" t="s">
        <v>46</v>
      </c>
      <c r="AN91" s="163" t="s">
        <v>53</v>
      </c>
      <c r="AO91" s="163" t="s">
        <v>1</v>
      </c>
      <c r="AP91" s="162"/>
      <c r="AQ91" s="682"/>
      <c r="AR91" s="680"/>
      <c r="AS91" s="163" t="s">
        <v>303</v>
      </c>
      <c r="AT91" s="163" t="s">
        <v>185</v>
      </c>
      <c r="AU91" s="163" t="s">
        <v>184</v>
      </c>
      <c r="AV91" s="163" t="s">
        <v>304</v>
      </c>
      <c r="AW91" s="163" t="s">
        <v>303</v>
      </c>
      <c r="AX91" s="163" t="s">
        <v>185</v>
      </c>
      <c r="AY91" s="163" t="s">
        <v>184</v>
      </c>
      <c r="AZ91" s="163" t="s">
        <v>304</v>
      </c>
      <c r="BA91" s="163" t="s">
        <v>303</v>
      </c>
      <c r="BB91" s="163" t="s">
        <v>185</v>
      </c>
      <c r="BC91" s="163" t="s">
        <v>184</v>
      </c>
      <c r="BD91" s="163" t="s">
        <v>304</v>
      </c>
    </row>
    <row r="92" spans="1:56" ht="15.75" thickTop="1" x14ac:dyDescent="0.25">
      <c r="AI92" s="164">
        <v>1</v>
      </c>
      <c r="AJ92" s="165" t="s">
        <v>67</v>
      </c>
      <c r="AK92" s="166">
        <f>$AY$6</f>
        <v>6.1754587307298294</v>
      </c>
      <c r="AL92" s="167" t="s">
        <v>305</v>
      </c>
      <c r="AM92" s="168">
        <f>$AX$6</f>
        <v>75.979972733596554</v>
      </c>
      <c r="AN92" s="168">
        <f>$AX$14</f>
        <v>70.612856334436529</v>
      </c>
      <c r="AO92" s="168">
        <f>$AX$22</f>
        <v>4.3895980938169862E-2</v>
      </c>
      <c r="AP92" s="169"/>
      <c r="AQ92" s="164">
        <f t="shared" ref="AQ92:AR92" si="19">AI92</f>
        <v>1</v>
      </c>
      <c r="AR92" s="165" t="str">
        <f t="shared" si="19"/>
        <v>Conventional</v>
      </c>
      <c r="AS92" s="170" t="s">
        <v>306</v>
      </c>
      <c r="AT92" s="171">
        <v>1</v>
      </c>
      <c r="AU92" s="171">
        <v>1</v>
      </c>
      <c r="AV92" s="171">
        <v>1</v>
      </c>
      <c r="AW92" s="170" t="s">
        <v>306</v>
      </c>
      <c r="AX92" s="171">
        <f>$W$6</f>
        <v>2.6818053976420545E-3</v>
      </c>
      <c r="AY92" s="171">
        <f>$W$14</f>
        <v>6.1337802805268137E-3</v>
      </c>
      <c r="AZ92" s="171">
        <f>$W$22</f>
        <v>3.7879772717812232E-2</v>
      </c>
      <c r="BA92" s="172" t="s">
        <v>306</v>
      </c>
      <c r="BB92" s="173">
        <f>$AO$6</f>
        <v>1</v>
      </c>
      <c r="BC92" s="173">
        <f>$AO$14</f>
        <v>1.5255208333333334</v>
      </c>
      <c r="BD92" s="173">
        <f>$AO$22</f>
        <v>1.65703125</v>
      </c>
    </row>
    <row r="93" spans="1:56" x14ac:dyDescent="0.25">
      <c r="H93" s="16"/>
      <c r="K93" s="9"/>
    </row>
  </sheetData>
  <mergeCells count="60">
    <mergeCell ref="A52:A53"/>
    <mergeCell ref="B52:B53"/>
    <mergeCell ref="C52:F52"/>
    <mergeCell ref="G52:J52"/>
    <mergeCell ref="K52:N52"/>
    <mergeCell ref="N6:N13"/>
    <mergeCell ref="N14:N21"/>
    <mergeCell ref="W6:W13"/>
    <mergeCell ref="N22:N37"/>
    <mergeCell ref="B28:C28"/>
    <mergeCell ref="A4:C4"/>
    <mergeCell ref="A46:A47"/>
    <mergeCell ref="B46:B47"/>
    <mergeCell ref="A21:C21"/>
    <mergeCell ref="A22:A23"/>
    <mergeCell ref="A24:A25"/>
    <mergeCell ref="AL4:AL5"/>
    <mergeCell ref="AM4:AM5"/>
    <mergeCell ref="W14:W21"/>
    <mergeCell ref="W22:W37"/>
    <mergeCell ref="Y3:Y5"/>
    <mergeCell ref="Z3:Z5"/>
    <mergeCell ref="AA3:AD3"/>
    <mergeCell ref="AC4:AC5"/>
    <mergeCell ref="AD4:AD5"/>
    <mergeCell ref="AE4:AF4"/>
    <mergeCell ref="AG4:AJ4"/>
    <mergeCell ref="AK4:AK5"/>
    <mergeCell ref="AR90:AR91"/>
    <mergeCell ref="AS90:AV90"/>
    <mergeCell ref="AW90:AZ90"/>
    <mergeCell ref="BA90:BD90"/>
    <mergeCell ref="E30:I33"/>
    <mergeCell ref="AI90:AI91"/>
    <mergeCell ref="AJ90:AJ91"/>
    <mergeCell ref="AK90:AK91"/>
    <mergeCell ref="AL90:AO90"/>
    <mergeCell ref="AQ90:AQ91"/>
    <mergeCell ref="AY6:AY37"/>
    <mergeCell ref="AW14:AW21"/>
    <mergeCell ref="AX14:AX21"/>
    <mergeCell ref="AW22:AW37"/>
    <mergeCell ref="AX22:AX37"/>
    <mergeCell ref="AO6:AO13"/>
    <mergeCell ref="AQ2:AY4"/>
    <mergeCell ref="C46:C47"/>
    <mergeCell ref="D46:G46"/>
    <mergeCell ref="K2:N4"/>
    <mergeCell ref="P2:W4"/>
    <mergeCell ref="Y2:AO2"/>
    <mergeCell ref="AW6:AW13"/>
    <mergeCell ref="AX6:AX13"/>
    <mergeCell ref="AO14:AO21"/>
    <mergeCell ref="AO22:AO37"/>
    <mergeCell ref="AE3:AK3"/>
    <mergeCell ref="AL3:AM3"/>
    <mergeCell ref="AN3:AN5"/>
    <mergeCell ref="AO3:AO5"/>
    <mergeCell ref="AA4:AA5"/>
    <mergeCell ref="AB4:AB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D101"/>
  <sheetViews>
    <sheetView zoomScale="55" zoomScaleNormal="55" workbookViewId="0">
      <selection activeCell="O58" sqref="O58"/>
    </sheetView>
  </sheetViews>
  <sheetFormatPr defaultColWidth="9.140625" defaultRowHeight="15" x14ac:dyDescent="0.25"/>
  <cols>
    <col min="1" max="1" width="9.140625" style="9"/>
    <col min="2" max="2" width="31.28515625" style="9" customWidth="1"/>
    <col min="3" max="3" width="21" style="9" customWidth="1"/>
    <col min="4" max="4" width="18.42578125" style="9" customWidth="1"/>
    <col min="5" max="5" width="15.42578125" style="9" customWidth="1"/>
    <col min="6" max="6" width="24.5703125" style="9" customWidth="1"/>
    <col min="7" max="7" width="25.42578125" style="9" customWidth="1"/>
    <col min="8" max="8" width="19.42578125" style="9" customWidth="1"/>
    <col min="9" max="9" width="12.7109375" style="9" customWidth="1"/>
    <col min="10" max="10" width="14" style="9" customWidth="1"/>
    <col min="11" max="11" width="19.140625" style="9" bestFit="1" customWidth="1"/>
    <col min="12" max="12" width="20.140625" style="9" bestFit="1" customWidth="1"/>
    <col min="13" max="13" width="20.42578125" style="9" bestFit="1" customWidth="1"/>
    <col min="14" max="14" width="18.5703125" style="9" bestFit="1" customWidth="1"/>
    <col min="15" max="15" width="9.7109375" style="9" bestFit="1"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140625" style="9"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9.140625" style="9"/>
    <col min="43" max="43" width="20.42578125" style="9" bestFit="1" customWidth="1"/>
    <col min="44" max="44" width="16.5703125" style="9" bestFit="1" customWidth="1"/>
    <col min="45" max="46" width="16" style="9" bestFit="1" customWidth="1"/>
    <col min="47" max="47" width="15.42578125" style="9" bestFit="1" customWidth="1"/>
    <col min="48" max="48" width="40.7109375" style="9" customWidth="1"/>
    <col min="49" max="51" width="16" style="9" bestFit="1" customWidth="1"/>
    <col min="52" max="52" width="9.140625" style="9"/>
    <col min="53" max="53" width="23.140625" style="9" customWidth="1"/>
    <col min="54" max="54" width="15.85546875" style="9" bestFit="1" customWidth="1"/>
    <col min="55" max="16384" width="9.140625" style="9"/>
  </cols>
  <sheetData>
    <row r="1" spans="1:51" x14ac:dyDescent="0.25">
      <c r="C1" s="17" t="s">
        <v>394</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66" t="s">
        <v>168</v>
      </c>
      <c r="L2" s="666"/>
      <c r="M2" s="666"/>
      <c r="N2" s="666"/>
      <c r="P2" s="668" t="s">
        <v>213</v>
      </c>
      <c r="Q2" s="668"/>
      <c r="R2" s="668"/>
      <c r="S2" s="668"/>
      <c r="T2" s="668"/>
      <c r="U2" s="668"/>
      <c r="V2" s="668"/>
      <c r="W2" s="668"/>
      <c r="Y2" s="670" t="s">
        <v>248</v>
      </c>
      <c r="Z2" s="670"/>
      <c r="AA2" s="670"/>
      <c r="AB2" s="670"/>
      <c r="AC2" s="670"/>
      <c r="AD2" s="670"/>
      <c r="AE2" s="670"/>
      <c r="AF2" s="670"/>
      <c r="AG2" s="670"/>
      <c r="AH2" s="670"/>
      <c r="AI2" s="670"/>
      <c r="AJ2" s="670"/>
      <c r="AK2" s="670"/>
      <c r="AL2" s="670"/>
      <c r="AM2" s="670"/>
      <c r="AN2" s="670"/>
      <c r="AO2" s="670"/>
      <c r="AQ2" s="664" t="s">
        <v>244</v>
      </c>
      <c r="AR2" s="664"/>
      <c r="AS2" s="664"/>
      <c r="AT2" s="664"/>
      <c r="AU2" s="664"/>
      <c r="AV2" s="664"/>
      <c r="AW2" s="664"/>
      <c r="AX2" s="664"/>
      <c r="AY2" s="664"/>
    </row>
    <row r="3" spans="1:51" ht="16.5" customHeight="1" thickTop="1" thickBot="1" x14ac:dyDescent="0.3">
      <c r="C3" s="17"/>
      <c r="K3" s="666"/>
      <c r="L3" s="666"/>
      <c r="M3" s="666"/>
      <c r="N3" s="666"/>
      <c r="P3" s="668"/>
      <c r="Q3" s="668"/>
      <c r="R3" s="668"/>
      <c r="S3" s="668"/>
      <c r="T3" s="668"/>
      <c r="U3" s="668"/>
      <c r="V3" s="668"/>
      <c r="W3" s="668"/>
      <c r="Y3" s="574" t="s">
        <v>188</v>
      </c>
      <c r="Z3" s="574" t="s">
        <v>214</v>
      </c>
      <c r="AA3" s="693" t="s">
        <v>215</v>
      </c>
      <c r="AB3" s="693"/>
      <c r="AC3" s="693"/>
      <c r="AD3" s="693"/>
      <c r="AE3" s="609" t="s">
        <v>216</v>
      </c>
      <c r="AF3" s="610"/>
      <c r="AG3" s="610"/>
      <c r="AH3" s="610"/>
      <c r="AI3" s="610"/>
      <c r="AJ3" s="610"/>
      <c r="AK3" s="675"/>
      <c r="AL3" s="609" t="s">
        <v>217</v>
      </c>
      <c r="AM3" s="675"/>
      <c r="AN3" s="676" t="s">
        <v>239</v>
      </c>
      <c r="AO3" s="676" t="s">
        <v>219</v>
      </c>
      <c r="AQ3" s="664"/>
      <c r="AR3" s="664"/>
      <c r="AS3" s="664"/>
      <c r="AT3" s="664"/>
      <c r="AU3" s="664"/>
      <c r="AV3" s="664"/>
      <c r="AW3" s="664"/>
      <c r="AX3" s="664"/>
      <c r="AY3" s="664"/>
    </row>
    <row r="4" spans="1:51" ht="16.5" customHeight="1" thickTop="1" thickBot="1" x14ac:dyDescent="0.3">
      <c r="A4" s="694" t="s">
        <v>70</v>
      </c>
      <c r="B4" s="695"/>
      <c r="C4" s="696"/>
      <c r="K4" s="667"/>
      <c r="L4" s="667"/>
      <c r="M4" s="667"/>
      <c r="N4" s="667"/>
      <c r="P4" s="669"/>
      <c r="Q4" s="669"/>
      <c r="R4" s="669"/>
      <c r="S4" s="669"/>
      <c r="T4" s="669"/>
      <c r="U4" s="669"/>
      <c r="V4" s="669"/>
      <c r="W4" s="669"/>
      <c r="Y4" s="574"/>
      <c r="Z4" s="574"/>
      <c r="AA4" s="676" t="s">
        <v>254</v>
      </c>
      <c r="AB4" s="676" t="s">
        <v>221</v>
      </c>
      <c r="AC4" s="574" t="s">
        <v>222</v>
      </c>
      <c r="AD4" s="574" t="s">
        <v>223</v>
      </c>
      <c r="AE4" s="693" t="s">
        <v>224</v>
      </c>
      <c r="AF4" s="693"/>
      <c r="AG4" s="693" t="s">
        <v>225</v>
      </c>
      <c r="AH4" s="693"/>
      <c r="AI4" s="693"/>
      <c r="AJ4" s="693"/>
      <c r="AK4" s="574" t="s">
        <v>226</v>
      </c>
      <c r="AL4" s="693" t="s">
        <v>227</v>
      </c>
      <c r="AM4" s="693" t="s">
        <v>228</v>
      </c>
      <c r="AN4" s="677"/>
      <c r="AO4" s="677"/>
      <c r="AQ4" s="665"/>
      <c r="AR4" s="665"/>
      <c r="AS4" s="665"/>
      <c r="AT4" s="665"/>
      <c r="AU4" s="665"/>
      <c r="AV4" s="665"/>
      <c r="AW4" s="665"/>
      <c r="AX4" s="665"/>
      <c r="AY4" s="665"/>
    </row>
    <row r="5" spans="1:51" ht="31.5" thickTop="1" thickBot="1" x14ac:dyDescent="0.3">
      <c r="A5" s="71" t="s">
        <v>6</v>
      </c>
      <c r="B5" s="71" t="s">
        <v>50</v>
      </c>
      <c r="C5" s="111" t="s">
        <v>51</v>
      </c>
      <c r="E5" s="211" t="s">
        <v>58</v>
      </c>
      <c r="F5" s="212"/>
      <c r="K5" s="210" t="s">
        <v>55</v>
      </c>
      <c r="L5" s="210" t="s">
        <v>54</v>
      </c>
      <c r="M5" s="213" t="s">
        <v>168</v>
      </c>
      <c r="N5" s="214" t="s">
        <v>255</v>
      </c>
      <c r="O5" s="29"/>
      <c r="P5" s="210" t="s">
        <v>188</v>
      </c>
      <c r="Q5" s="210" t="s">
        <v>206</v>
      </c>
      <c r="R5" s="210" t="s">
        <v>207</v>
      </c>
      <c r="S5" s="210" t="s">
        <v>208</v>
      </c>
      <c r="T5" s="210" t="s">
        <v>209</v>
      </c>
      <c r="U5" s="214" t="s">
        <v>257</v>
      </c>
      <c r="V5" s="214" t="s">
        <v>256</v>
      </c>
      <c r="W5" s="210" t="s">
        <v>212</v>
      </c>
      <c r="Y5" s="574"/>
      <c r="Z5" s="574"/>
      <c r="AA5" s="679"/>
      <c r="AB5" s="679"/>
      <c r="AC5" s="693"/>
      <c r="AD5" s="693"/>
      <c r="AE5" s="214" t="s">
        <v>249</v>
      </c>
      <c r="AF5" s="214" t="s">
        <v>252</v>
      </c>
      <c r="AG5" s="210" t="s">
        <v>229</v>
      </c>
      <c r="AH5" s="214" t="s">
        <v>250</v>
      </c>
      <c r="AI5" s="214" t="s">
        <v>251</v>
      </c>
      <c r="AJ5" s="214" t="s">
        <v>253</v>
      </c>
      <c r="AK5" s="574"/>
      <c r="AL5" s="693"/>
      <c r="AM5" s="693"/>
      <c r="AN5" s="678"/>
      <c r="AO5" s="678"/>
      <c r="AQ5" s="210" t="s">
        <v>188</v>
      </c>
      <c r="AR5" s="215" t="s">
        <v>237</v>
      </c>
      <c r="AS5" s="214" t="s">
        <v>238</v>
      </c>
      <c r="AT5" s="214" t="s">
        <v>239</v>
      </c>
      <c r="AU5" s="214" t="s">
        <v>240</v>
      </c>
      <c r="AV5" s="214" t="s">
        <v>258</v>
      </c>
      <c r="AW5" s="210" t="s">
        <v>91</v>
      </c>
      <c r="AX5" s="214" t="s">
        <v>259</v>
      </c>
      <c r="AY5" s="399" t="s">
        <v>243</v>
      </c>
    </row>
    <row r="6" spans="1:51" ht="20.25" customHeight="1" thickTop="1" x14ac:dyDescent="0.3">
      <c r="A6" s="2" t="s">
        <v>7</v>
      </c>
      <c r="B6" s="5" t="s">
        <v>8</v>
      </c>
      <c r="C6" s="51">
        <f>'Input sheet'!E8</f>
        <v>8125</v>
      </c>
      <c r="E6" s="216" t="s">
        <v>56</v>
      </c>
      <c r="F6" s="217" t="s">
        <v>308</v>
      </c>
      <c r="K6" s="220" t="s">
        <v>26</v>
      </c>
      <c r="L6" s="104" t="s">
        <v>105</v>
      </c>
      <c r="M6" s="218">
        <f>C9*(C10+C11)</f>
        <v>51046875</v>
      </c>
      <c r="N6" s="460">
        <f>SUM(M6:M13)</f>
        <v>830312500</v>
      </c>
      <c r="P6" s="219" t="s">
        <v>26</v>
      </c>
      <c r="Q6" s="44">
        <f>$C$33</f>
        <v>25</v>
      </c>
      <c r="R6" s="44">
        <f>$C$33</f>
        <v>25</v>
      </c>
      <c r="S6" s="44">
        <v>10</v>
      </c>
      <c r="T6" s="44">
        <f t="shared" ref="T6:T35" si="0">SQRT(Q6^2 + R6^2 - 2 * Q6 * R6 * COS(RADIANS(S6))) / 2</f>
        <v>2.1788935686914574</v>
      </c>
      <c r="U6" s="44">
        <f t="shared" ref="U6:U35" si="1">(T6/67.29)^3.79</f>
        <v>2.2593421376807375E-6</v>
      </c>
      <c r="V6" s="44">
        <f t="shared" ref="V6:V35" si="2">(U6+U6)-(U6*U6)</f>
        <v>4.5186791707345801E-6</v>
      </c>
      <c r="W6" s="460">
        <f>AVERAGE(V6:V13)</f>
        <v>2.683738769075432E-3</v>
      </c>
      <c r="Y6" s="220" t="s">
        <v>26</v>
      </c>
      <c r="Z6" s="330" t="s">
        <v>231</v>
      </c>
      <c r="AA6" s="222" t="s">
        <v>246</v>
      </c>
      <c r="AB6" s="222">
        <f t="shared" ref="AB6:AB35" si="3">IF(TRIM(AA6)="Permitted or yield control",1, IF(TRIM(AA6)="Protected",0.01, 1))</f>
        <v>1</v>
      </c>
      <c r="AC6" s="222">
        <v>0.5</v>
      </c>
      <c r="AD6" s="222">
        <f t="shared" ref="AD6:AD35" si="4">AB6+((1-AC6)*(1-AB6))</f>
        <v>1</v>
      </c>
      <c r="AE6" s="222" t="s">
        <v>242</v>
      </c>
      <c r="AF6" s="222">
        <f t="shared" ref="AF6:AF35" si="5">IF(ISNUMBER(SEARCH("EBT", AE6)),$C$22, 0) + IF(ISNUMBER(SEARCH("WBT", AE6)),$C$23, 0)+IF(ISNUMBER(SEARCH("NBT", AE6)),$C$24, 0) + IF(ISNUMBER(SEARCH("SBT", AE6)),$C$25, 0)</f>
        <v>0</v>
      </c>
      <c r="AG6" s="222">
        <v>0</v>
      </c>
      <c r="AH6" s="222" t="s">
        <v>242</v>
      </c>
      <c r="AI6" s="222">
        <f t="shared" ref="AI6:AI35" si="6">IF(ISNUMBER(SEARCH("EBT", AH6)),$C$22, 0) + IF(ISNUMBER(SEARCH("WBT", AH6)),$C$23, 0)+IF(ISNUMBER(SEARCH("NBT", AH6)),$C$24, 0) + IF(ISNUMBER(SEARCH("SBT", AH6)),$C$25, 0)</f>
        <v>0</v>
      </c>
      <c r="AJ6" s="222">
        <f t="shared" ref="AJ6:AJ35" si="7">IF(AG6=0, 0, IF(AI6=1, 1, IF(AI6=2, 1*(1+0.75), 1*(1+0.75+0.5*(AI6-2)))))</f>
        <v>0</v>
      </c>
      <c r="AK6" s="222">
        <f t="shared" ref="AK6:AK35" si="8">IF(Z6="D",1,AF6+AJ6)</f>
        <v>1</v>
      </c>
      <c r="AL6" s="222" t="str">
        <f t="shared" ref="AL6:AL35" si="9">IF(Z6="D","NA",$C$29)</f>
        <v>NA</v>
      </c>
      <c r="AM6" s="222">
        <f t="shared" ref="AM6:AM35" si="10">IF(Z6="D", 1, 1-(((60-AL6)/60)*(0.1/0.15)))</f>
        <v>1</v>
      </c>
      <c r="AN6" s="223">
        <f t="shared" ref="AN6:AN35" si="11">IF(Z6="D",1,AD6*AK6*AM6)</f>
        <v>1</v>
      </c>
      <c r="AO6" s="672">
        <f>AVERAGE(AN6:AN13)</f>
        <v>1</v>
      </c>
      <c r="AQ6" s="219" t="s">
        <v>26</v>
      </c>
      <c r="AR6" s="225">
        <f t="shared" ref="AR6:AR35" si="12">M6</f>
        <v>51046875</v>
      </c>
      <c r="AS6" s="225">
        <f t="shared" ref="AS6:AS35" si="13">V6</f>
        <v>4.5186791707345801E-6</v>
      </c>
      <c r="AT6" s="225">
        <f t="shared" ref="AT6:AT35" si="14">AN6</f>
        <v>1</v>
      </c>
      <c r="AU6" s="225">
        <v>1</v>
      </c>
      <c r="AV6" s="225">
        <f>AR6*AS6*AT6*AU6</f>
        <v>230.66445079359175</v>
      </c>
      <c r="AW6" s="460">
        <f>SUM(AV6:AV13)</f>
        <v>3318265.9908819227</v>
      </c>
      <c r="AX6" s="460">
        <f>100*EXP((-1/13700000)*AW6)</f>
        <v>78.489196379118084</v>
      </c>
      <c r="AY6" s="623">
        <f>100*EXP((-1/13700000)*((AW14+AW22+AW6)/3))</f>
        <v>4.7836159264284985</v>
      </c>
    </row>
    <row r="7" spans="1:51" ht="18.75" customHeight="1" x14ac:dyDescent="0.3">
      <c r="A7" s="3"/>
      <c r="B7" s="6" t="s">
        <v>9</v>
      </c>
      <c r="C7" s="52">
        <f>'Input sheet'!E9</f>
        <v>16250</v>
      </c>
      <c r="E7" s="110" t="s">
        <v>56</v>
      </c>
      <c r="F7" s="226" t="s">
        <v>309</v>
      </c>
      <c r="K7" s="230" t="s">
        <v>27</v>
      </c>
      <c r="L7" s="109" t="s">
        <v>106</v>
      </c>
      <c r="M7" s="228">
        <f>C10*C11</f>
        <v>34031250</v>
      </c>
      <c r="N7" s="671"/>
      <c r="P7" s="229" t="s">
        <v>27</v>
      </c>
      <c r="Q7" s="45">
        <f>$C$33</f>
        <v>25</v>
      </c>
      <c r="R7" s="45">
        <f>$C$33</f>
        <v>25</v>
      </c>
      <c r="S7" s="45">
        <v>10</v>
      </c>
      <c r="T7" s="45">
        <f t="shared" si="0"/>
        <v>2.1788935686914574</v>
      </c>
      <c r="U7" s="45">
        <f t="shared" si="1"/>
        <v>2.2593421376807375E-6</v>
      </c>
      <c r="V7" s="45">
        <f t="shared" si="2"/>
        <v>4.5186791707345801E-6</v>
      </c>
      <c r="W7" s="671"/>
      <c r="Y7" s="230" t="s">
        <v>27</v>
      </c>
      <c r="Z7" s="331" t="s">
        <v>231</v>
      </c>
      <c r="AA7" s="232" t="s">
        <v>246</v>
      </c>
      <c r="AB7" s="232">
        <f t="shared" si="3"/>
        <v>1</v>
      </c>
      <c r="AC7" s="232">
        <v>0.5</v>
      </c>
      <c r="AD7" s="232">
        <f t="shared" si="4"/>
        <v>1</v>
      </c>
      <c r="AE7" s="232" t="s">
        <v>242</v>
      </c>
      <c r="AF7" s="232">
        <f t="shared" si="5"/>
        <v>0</v>
      </c>
      <c r="AG7" s="232">
        <v>0</v>
      </c>
      <c r="AH7" s="232" t="s">
        <v>242</v>
      </c>
      <c r="AI7" s="232">
        <f t="shared" si="6"/>
        <v>0</v>
      </c>
      <c r="AJ7" s="232">
        <f t="shared" si="7"/>
        <v>0</v>
      </c>
      <c r="AK7" s="232">
        <f t="shared" si="8"/>
        <v>1</v>
      </c>
      <c r="AL7" s="232" t="str">
        <f t="shared" si="9"/>
        <v>NA</v>
      </c>
      <c r="AM7" s="232">
        <f t="shared" si="10"/>
        <v>1</v>
      </c>
      <c r="AN7" s="233">
        <f t="shared" si="11"/>
        <v>1</v>
      </c>
      <c r="AO7" s="673"/>
      <c r="AQ7" s="229" t="s">
        <v>27</v>
      </c>
      <c r="AR7" s="234">
        <f t="shared" si="12"/>
        <v>34031250</v>
      </c>
      <c r="AS7" s="234">
        <f t="shared" si="13"/>
        <v>4.5186791707345801E-6</v>
      </c>
      <c r="AT7" s="234">
        <f t="shared" si="14"/>
        <v>1</v>
      </c>
      <c r="AU7" s="234">
        <v>1</v>
      </c>
      <c r="AV7" s="234">
        <f t="shared" ref="AV7:AV35" si="15">AR7*AS7*AT7*AU7</f>
        <v>153.77630052906119</v>
      </c>
      <c r="AW7" s="671"/>
      <c r="AX7" s="671"/>
      <c r="AY7" s="624"/>
    </row>
    <row r="8" spans="1:51" ht="19.5" thickBot="1" x14ac:dyDescent="0.35">
      <c r="A8" s="4"/>
      <c r="B8" s="7" t="s">
        <v>10</v>
      </c>
      <c r="C8" s="53">
        <f>'Input sheet'!E10</f>
        <v>8125</v>
      </c>
      <c r="E8" s="235" t="s">
        <v>57</v>
      </c>
      <c r="F8" s="236" t="s">
        <v>310</v>
      </c>
      <c r="K8" s="239" t="s">
        <v>22</v>
      </c>
      <c r="L8" s="109" t="s">
        <v>154</v>
      </c>
      <c r="M8" s="228">
        <f>C12*C13</f>
        <v>132031250</v>
      </c>
      <c r="N8" s="671"/>
      <c r="P8" s="238" t="s">
        <v>22</v>
      </c>
      <c r="Q8" s="45">
        <f>$C$29</f>
        <v>45</v>
      </c>
      <c r="R8" s="45">
        <f>$C$31</f>
        <v>15</v>
      </c>
      <c r="S8" s="45">
        <v>10</v>
      </c>
      <c r="T8" s="45">
        <f t="shared" si="0"/>
        <v>15.169950011729762</v>
      </c>
      <c r="U8" s="45">
        <f t="shared" si="1"/>
        <v>3.5318107578168117E-3</v>
      </c>
      <c r="V8" s="45">
        <f t="shared" si="2"/>
        <v>7.051147828404593E-3</v>
      </c>
      <c r="W8" s="671"/>
      <c r="Y8" s="239" t="s">
        <v>22</v>
      </c>
      <c r="Z8" s="331" t="s">
        <v>231</v>
      </c>
      <c r="AA8" s="232" t="s">
        <v>246</v>
      </c>
      <c r="AB8" s="232">
        <f t="shared" si="3"/>
        <v>1</v>
      </c>
      <c r="AC8" s="232">
        <v>0.5</v>
      </c>
      <c r="AD8" s="232">
        <f t="shared" si="4"/>
        <v>1</v>
      </c>
      <c r="AE8" s="232" t="s">
        <v>242</v>
      </c>
      <c r="AF8" s="232">
        <f t="shared" si="5"/>
        <v>0</v>
      </c>
      <c r="AG8" s="232">
        <v>0</v>
      </c>
      <c r="AH8" s="232" t="s">
        <v>242</v>
      </c>
      <c r="AI8" s="232">
        <f t="shared" si="6"/>
        <v>0</v>
      </c>
      <c r="AJ8" s="232">
        <f t="shared" si="7"/>
        <v>0</v>
      </c>
      <c r="AK8" s="232">
        <f t="shared" si="8"/>
        <v>1</v>
      </c>
      <c r="AL8" s="232" t="str">
        <f t="shared" si="9"/>
        <v>NA</v>
      </c>
      <c r="AM8" s="232">
        <f t="shared" si="10"/>
        <v>1</v>
      </c>
      <c r="AN8" s="233">
        <f t="shared" si="11"/>
        <v>1</v>
      </c>
      <c r="AO8" s="673"/>
      <c r="AQ8" s="238" t="s">
        <v>22</v>
      </c>
      <c r="AR8" s="234">
        <f t="shared" si="12"/>
        <v>132031250</v>
      </c>
      <c r="AS8" s="234">
        <f t="shared" si="13"/>
        <v>7.051147828404593E-3</v>
      </c>
      <c r="AT8" s="234">
        <f t="shared" si="14"/>
        <v>1</v>
      </c>
      <c r="AU8" s="234">
        <v>1</v>
      </c>
      <c r="AV8" s="234">
        <f t="shared" si="15"/>
        <v>930971.86171904393</v>
      </c>
      <c r="AW8" s="671"/>
      <c r="AX8" s="671"/>
      <c r="AY8" s="624"/>
    </row>
    <row r="9" spans="1:51" ht="19.5" thickTop="1" x14ac:dyDescent="0.3">
      <c r="A9" s="2" t="s">
        <v>23</v>
      </c>
      <c r="B9" s="5" t="s">
        <v>14</v>
      </c>
      <c r="C9" s="54">
        <f>'Input sheet'!E11</f>
        <v>4125</v>
      </c>
      <c r="K9" s="239" t="s">
        <v>20</v>
      </c>
      <c r="L9" s="109" t="s">
        <v>155</v>
      </c>
      <c r="M9" s="228">
        <f>(C12+C13)*C14</f>
        <v>198046875</v>
      </c>
      <c r="N9" s="671"/>
      <c r="P9" s="238" t="s">
        <v>20</v>
      </c>
      <c r="Q9" s="45">
        <f>$C$29</f>
        <v>45</v>
      </c>
      <c r="R9" s="45">
        <f>$C$30</f>
        <v>20</v>
      </c>
      <c r="S9" s="45">
        <v>10</v>
      </c>
      <c r="T9" s="45">
        <f t="shared" si="0"/>
        <v>12.77053292327718</v>
      </c>
      <c r="U9" s="45">
        <f t="shared" si="1"/>
        <v>1.8390760451277139E-3</v>
      </c>
      <c r="V9" s="45">
        <f t="shared" si="2"/>
        <v>3.6747698895556653E-3</v>
      </c>
      <c r="W9" s="671"/>
      <c r="Y9" s="239" t="s">
        <v>20</v>
      </c>
      <c r="Z9" s="331" t="s">
        <v>231</v>
      </c>
      <c r="AA9" s="232" t="s">
        <v>246</v>
      </c>
      <c r="AB9" s="232">
        <f t="shared" si="3"/>
        <v>1</v>
      </c>
      <c r="AC9" s="232">
        <v>0.5</v>
      </c>
      <c r="AD9" s="232">
        <f t="shared" si="4"/>
        <v>1</v>
      </c>
      <c r="AE9" s="232" t="s">
        <v>242</v>
      </c>
      <c r="AF9" s="232">
        <f t="shared" si="5"/>
        <v>0</v>
      </c>
      <c r="AG9" s="232">
        <v>0</v>
      </c>
      <c r="AH9" s="232" t="s">
        <v>242</v>
      </c>
      <c r="AI9" s="232">
        <f t="shared" si="6"/>
        <v>0</v>
      </c>
      <c r="AJ9" s="232">
        <f t="shared" si="7"/>
        <v>0</v>
      </c>
      <c r="AK9" s="232">
        <f t="shared" si="8"/>
        <v>1</v>
      </c>
      <c r="AL9" s="232" t="str">
        <f t="shared" si="9"/>
        <v>NA</v>
      </c>
      <c r="AM9" s="232">
        <f t="shared" si="10"/>
        <v>1</v>
      </c>
      <c r="AN9" s="233">
        <f t="shared" si="11"/>
        <v>1</v>
      </c>
      <c r="AO9" s="673"/>
      <c r="AQ9" s="238" t="s">
        <v>20</v>
      </c>
      <c r="AR9" s="234">
        <f t="shared" si="12"/>
        <v>198046875</v>
      </c>
      <c r="AS9" s="234">
        <f t="shared" si="13"/>
        <v>3.6747698895556653E-3</v>
      </c>
      <c r="AT9" s="234">
        <f t="shared" si="14"/>
        <v>1</v>
      </c>
      <c r="AU9" s="234">
        <v>1</v>
      </c>
      <c r="AV9" s="234">
        <f t="shared" si="15"/>
        <v>727776.69297059462</v>
      </c>
      <c r="AW9" s="671"/>
      <c r="AX9" s="671"/>
      <c r="AY9" s="624"/>
    </row>
    <row r="10" spans="1:51" ht="19.5" customHeight="1" x14ac:dyDescent="0.3">
      <c r="A10" s="3"/>
      <c r="B10" s="6" t="s">
        <v>15</v>
      </c>
      <c r="C10" s="52">
        <f>'Input sheet'!E12</f>
        <v>8250</v>
      </c>
      <c r="K10" s="239" t="s">
        <v>28</v>
      </c>
      <c r="L10" s="109" t="s">
        <v>156</v>
      </c>
      <c r="M10" s="228">
        <f>(C15+C16)*C17</f>
        <v>51046875</v>
      </c>
      <c r="N10" s="671"/>
      <c r="P10" s="238" t="s">
        <v>28</v>
      </c>
      <c r="Q10" s="45">
        <f>$C$33</f>
        <v>25</v>
      </c>
      <c r="R10" s="45">
        <f>$C$33</f>
        <v>25</v>
      </c>
      <c r="S10" s="45">
        <v>10</v>
      </c>
      <c r="T10" s="45">
        <f t="shared" si="0"/>
        <v>2.1788935686914574</v>
      </c>
      <c r="U10" s="45">
        <f t="shared" si="1"/>
        <v>2.2593421376807375E-6</v>
      </c>
      <c r="V10" s="45">
        <f t="shared" si="2"/>
        <v>4.5186791707345801E-6</v>
      </c>
      <c r="W10" s="671"/>
      <c r="Y10" s="239" t="s">
        <v>28</v>
      </c>
      <c r="Z10" s="331" t="s">
        <v>231</v>
      </c>
      <c r="AA10" s="232" t="s">
        <v>246</v>
      </c>
      <c r="AB10" s="232">
        <f t="shared" si="3"/>
        <v>1</v>
      </c>
      <c r="AC10" s="232">
        <v>0.5</v>
      </c>
      <c r="AD10" s="232">
        <f t="shared" si="4"/>
        <v>1</v>
      </c>
      <c r="AE10" s="232" t="s">
        <v>242</v>
      </c>
      <c r="AF10" s="232">
        <f t="shared" si="5"/>
        <v>0</v>
      </c>
      <c r="AG10" s="232">
        <v>0</v>
      </c>
      <c r="AH10" s="232" t="s">
        <v>242</v>
      </c>
      <c r="AI10" s="232">
        <f t="shared" si="6"/>
        <v>0</v>
      </c>
      <c r="AJ10" s="232">
        <f t="shared" si="7"/>
        <v>0</v>
      </c>
      <c r="AK10" s="232">
        <f t="shared" si="8"/>
        <v>1</v>
      </c>
      <c r="AL10" s="232" t="str">
        <f t="shared" si="9"/>
        <v>NA</v>
      </c>
      <c r="AM10" s="232">
        <f t="shared" si="10"/>
        <v>1</v>
      </c>
      <c r="AN10" s="233">
        <f t="shared" si="11"/>
        <v>1</v>
      </c>
      <c r="AO10" s="673"/>
      <c r="AQ10" s="238" t="s">
        <v>28</v>
      </c>
      <c r="AR10" s="234">
        <f t="shared" si="12"/>
        <v>51046875</v>
      </c>
      <c r="AS10" s="234">
        <f t="shared" si="13"/>
        <v>4.5186791707345801E-6</v>
      </c>
      <c r="AT10" s="234">
        <f t="shared" si="14"/>
        <v>1</v>
      </c>
      <c r="AU10" s="234">
        <v>1</v>
      </c>
      <c r="AV10" s="234">
        <f t="shared" si="15"/>
        <v>230.66445079359175</v>
      </c>
      <c r="AW10" s="671"/>
      <c r="AX10" s="671"/>
      <c r="AY10" s="624"/>
    </row>
    <row r="11" spans="1:51" ht="19.5" thickBot="1" x14ac:dyDescent="0.35">
      <c r="A11" s="4"/>
      <c r="B11" s="7" t="s">
        <v>16</v>
      </c>
      <c r="C11" s="53">
        <f>'Input sheet'!E13</f>
        <v>4125</v>
      </c>
      <c r="K11" s="239" t="s">
        <v>21</v>
      </c>
      <c r="L11" s="109" t="s">
        <v>110</v>
      </c>
      <c r="M11" s="228">
        <f>C16*C17</f>
        <v>34031250</v>
      </c>
      <c r="N11" s="671"/>
      <c r="P11" s="238" t="s">
        <v>21</v>
      </c>
      <c r="Q11" s="45">
        <f>$C$33</f>
        <v>25</v>
      </c>
      <c r="R11" s="45">
        <f>$C$33</f>
        <v>25</v>
      </c>
      <c r="S11" s="45">
        <v>10</v>
      </c>
      <c r="T11" s="45">
        <f t="shared" si="0"/>
        <v>2.1788935686914574</v>
      </c>
      <c r="U11" s="45">
        <f t="shared" si="1"/>
        <v>2.2593421376807375E-6</v>
      </c>
      <c r="V11" s="45">
        <f t="shared" si="2"/>
        <v>4.5186791707345801E-6</v>
      </c>
      <c r="W11" s="671"/>
      <c r="Y11" s="239" t="s">
        <v>21</v>
      </c>
      <c r="Z11" s="331" t="s">
        <v>231</v>
      </c>
      <c r="AA11" s="232" t="s">
        <v>246</v>
      </c>
      <c r="AB11" s="232">
        <f t="shared" si="3"/>
        <v>1</v>
      </c>
      <c r="AC11" s="232">
        <v>0.5</v>
      </c>
      <c r="AD11" s="232">
        <f t="shared" si="4"/>
        <v>1</v>
      </c>
      <c r="AE11" s="232" t="s">
        <v>242</v>
      </c>
      <c r="AF11" s="232">
        <f t="shared" si="5"/>
        <v>0</v>
      </c>
      <c r="AG11" s="232">
        <v>0</v>
      </c>
      <c r="AH11" s="232" t="s">
        <v>242</v>
      </c>
      <c r="AI11" s="232">
        <f t="shared" si="6"/>
        <v>0</v>
      </c>
      <c r="AJ11" s="232">
        <f t="shared" si="7"/>
        <v>0</v>
      </c>
      <c r="AK11" s="232">
        <f t="shared" si="8"/>
        <v>1</v>
      </c>
      <c r="AL11" s="232" t="str">
        <f t="shared" si="9"/>
        <v>NA</v>
      </c>
      <c r="AM11" s="232">
        <f t="shared" si="10"/>
        <v>1</v>
      </c>
      <c r="AN11" s="233">
        <f t="shared" si="11"/>
        <v>1</v>
      </c>
      <c r="AO11" s="673"/>
      <c r="AQ11" s="238" t="s">
        <v>21</v>
      </c>
      <c r="AR11" s="234">
        <f t="shared" si="12"/>
        <v>34031250</v>
      </c>
      <c r="AS11" s="234">
        <f t="shared" si="13"/>
        <v>4.5186791707345801E-6</v>
      </c>
      <c r="AT11" s="234">
        <f t="shared" si="14"/>
        <v>1</v>
      </c>
      <c r="AU11" s="234">
        <v>1</v>
      </c>
      <c r="AV11" s="234">
        <f t="shared" si="15"/>
        <v>153.77630052906119</v>
      </c>
      <c r="AW11" s="671"/>
      <c r="AX11" s="671"/>
      <c r="AY11" s="624"/>
    </row>
    <row r="12" spans="1:51" ht="19.5" thickTop="1" x14ac:dyDescent="0.3">
      <c r="A12" s="2" t="s">
        <v>24</v>
      </c>
      <c r="B12" s="5" t="s">
        <v>11</v>
      </c>
      <c r="C12" s="54">
        <f>'Input sheet'!E14</f>
        <v>8125</v>
      </c>
      <c r="K12" s="239" t="s">
        <v>29</v>
      </c>
      <c r="L12" s="109" t="s">
        <v>157</v>
      </c>
      <c r="M12" s="228">
        <f>C6*C7</f>
        <v>132031250</v>
      </c>
      <c r="N12" s="671"/>
      <c r="P12" s="238" t="s">
        <v>29</v>
      </c>
      <c r="Q12" s="45">
        <f>$C$29</f>
        <v>45</v>
      </c>
      <c r="R12" s="45">
        <f>$C$31</f>
        <v>15</v>
      </c>
      <c r="S12" s="45">
        <v>10</v>
      </c>
      <c r="T12" s="45">
        <f t="shared" si="0"/>
        <v>15.169950011729762</v>
      </c>
      <c r="U12" s="45">
        <f t="shared" si="1"/>
        <v>3.5318107578168117E-3</v>
      </c>
      <c r="V12" s="45">
        <f t="shared" si="2"/>
        <v>7.051147828404593E-3</v>
      </c>
      <c r="W12" s="671"/>
      <c r="Y12" s="239" t="s">
        <v>29</v>
      </c>
      <c r="Z12" s="331" t="s">
        <v>231</v>
      </c>
      <c r="AA12" s="232" t="s">
        <v>246</v>
      </c>
      <c r="AB12" s="232">
        <f t="shared" si="3"/>
        <v>1</v>
      </c>
      <c r="AC12" s="232">
        <v>0.5</v>
      </c>
      <c r="AD12" s="232">
        <f t="shared" si="4"/>
        <v>1</v>
      </c>
      <c r="AE12" s="232" t="s">
        <v>242</v>
      </c>
      <c r="AF12" s="232">
        <f t="shared" si="5"/>
        <v>0</v>
      </c>
      <c r="AG12" s="232">
        <v>0</v>
      </c>
      <c r="AH12" s="232" t="s">
        <v>242</v>
      </c>
      <c r="AI12" s="232">
        <f t="shared" si="6"/>
        <v>0</v>
      </c>
      <c r="AJ12" s="232">
        <f t="shared" si="7"/>
        <v>0</v>
      </c>
      <c r="AK12" s="232">
        <f t="shared" si="8"/>
        <v>1</v>
      </c>
      <c r="AL12" s="232" t="str">
        <f t="shared" si="9"/>
        <v>NA</v>
      </c>
      <c r="AM12" s="232">
        <f t="shared" si="10"/>
        <v>1</v>
      </c>
      <c r="AN12" s="233">
        <f t="shared" si="11"/>
        <v>1</v>
      </c>
      <c r="AO12" s="673"/>
      <c r="AQ12" s="238" t="s">
        <v>29</v>
      </c>
      <c r="AR12" s="234">
        <f t="shared" si="12"/>
        <v>132031250</v>
      </c>
      <c r="AS12" s="234">
        <f t="shared" si="13"/>
        <v>7.051147828404593E-3</v>
      </c>
      <c r="AT12" s="234">
        <f t="shared" si="14"/>
        <v>1</v>
      </c>
      <c r="AU12" s="234">
        <v>1</v>
      </c>
      <c r="AV12" s="234">
        <f t="shared" si="15"/>
        <v>930971.86171904393</v>
      </c>
      <c r="AW12" s="671"/>
      <c r="AX12" s="671"/>
      <c r="AY12" s="624"/>
    </row>
    <row r="13" spans="1:51" ht="20.25" customHeight="1" thickBot="1" x14ac:dyDescent="0.35">
      <c r="A13" s="3"/>
      <c r="B13" s="6" t="s">
        <v>12</v>
      </c>
      <c r="C13" s="52">
        <f>'Input sheet'!E15</f>
        <v>16250</v>
      </c>
      <c r="K13" s="247" t="s">
        <v>30</v>
      </c>
      <c r="L13" s="105" t="s">
        <v>159</v>
      </c>
      <c r="M13" s="245">
        <f>(C6+C7)*C8</f>
        <v>198046875</v>
      </c>
      <c r="N13" s="461"/>
      <c r="P13" s="246" t="s">
        <v>30</v>
      </c>
      <c r="Q13" s="46">
        <f>$C$29</f>
        <v>45</v>
      </c>
      <c r="R13" s="46">
        <f>$C$30</f>
        <v>20</v>
      </c>
      <c r="S13" s="46">
        <v>10</v>
      </c>
      <c r="T13" s="46">
        <f t="shared" si="0"/>
        <v>12.77053292327718</v>
      </c>
      <c r="U13" s="46">
        <f t="shared" si="1"/>
        <v>1.8390760451277139E-3</v>
      </c>
      <c r="V13" s="46">
        <f t="shared" si="2"/>
        <v>3.6747698895556653E-3</v>
      </c>
      <c r="W13" s="461"/>
      <c r="Y13" s="247" t="s">
        <v>30</v>
      </c>
      <c r="Z13" s="331" t="s">
        <v>231</v>
      </c>
      <c r="AA13" s="249" t="s">
        <v>246</v>
      </c>
      <c r="AB13" s="249">
        <f t="shared" si="3"/>
        <v>1</v>
      </c>
      <c r="AC13" s="249">
        <v>0.5</v>
      </c>
      <c r="AD13" s="249">
        <f t="shared" si="4"/>
        <v>1</v>
      </c>
      <c r="AE13" s="249" t="s">
        <v>242</v>
      </c>
      <c r="AF13" s="249">
        <f t="shared" si="5"/>
        <v>0</v>
      </c>
      <c r="AG13" s="249">
        <v>0</v>
      </c>
      <c r="AH13" s="249" t="s">
        <v>242</v>
      </c>
      <c r="AI13" s="249">
        <f t="shared" si="6"/>
        <v>0</v>
      </c>
      <c r="AJ13" s="249">
        <f t="shared" si="7"/>
        <v>0</v>
      </c>
      <c r="AK13" s="249">
        <f t="shared" si="8"/>
        <v>1</v>
      </c>
      <c r="AL13" s="249" t="str">
        <f t="shared" si="9"/>
        <v>NA</v>
      </c>
      <c r="AM13" s="249">
        <f t="shared" si="10"/>
        <v>1</v>
      </c>
      <c r="AN13" s="250">
        <f t="shared" si="11"/>
        <v>1</v>
      </c>
      <c r="AO13" s="674"/>
      <c r="AQ13" s="246" t="s">
        <v>30</v>
      </c>
      <c r="AR13" s="251">
        <f t="shared" si="12"/>
        <v>198046875</v>
      </c>
      <c r="AS13" s="251">
        <f t="shared" si="13"/>
        <v>3.6747698895556653E-3</v>
      </c>
      <c r="AT13" s="251">
        <f t="shared" si="14"/>
        <v>1</v>
      </c>
      <c r="AU13" s="251">
        <v>1</v>
      </c>
      <c r="AV13" s="251">
        <f t="shared" si="15"/>
        <v>727776.69297059462</v>
      </c>
      <c r="AW13" s="461"/>
      <c r="AX13" s="461"/>
      <c r="AY13" s="624"/>
    </row>
    <row r="14" spans="1:51" ht="20.25" thickTop="1" thickBot="1" x14ac:dyDescent="0.35">
      <c r="A14" s="4"/>
      <c r="B14" s="7" t="s">
        <v>13</v>
      </c>
      <c r="C14" s="53">
        <f>'Input sheet'!E16</f>
        <v>8125</v>
      </c>
      <c r="K14" s="332" t="s">
        <v>26</v>
      </c>
      <c r="L14" s="104" t="s">
        <v>158</v>
      </c>
      <c r="M14" s="218">
        <f>C9*(C7+C17)</f>
        <v>84046875</v>
      </c>
      <c r="N14" s="460">
        <f>SUM(M14:M21)</f>
        <v>702312500</v>
      </c>
      <c r="P14" s="254" t="s">
        <v>26</v>
      </c>
      <c r="Q14" s="44">
        <f>$C$29</f>
        <v>45</v>
      </c>
      <c r="R14" s="44">
        <f t="shared" ref="R14:R21" si="16">$C$33</f>
        <v>25</v>
      </c>
      <c r="S14" s="44">
        <v>45</v>
      </c>
      <c r="T14" s="44">
        <f t="shared" si="0"/>
        <v>16.271214938736659</v>
      </c>
      <c r="U14" s="44">
        <f t="shared" si="1"/>
        <v>4.6062682901169601E-3</v>
      </c>
      <c r="V14" s="44">
        <f t="shared" si="2"/>
        <v>9.1913188726733836E-3</v>
      </c>
      <c r="W14" s="460">
        <f>AVERAGE(V14:V21)</f>
        <v>5.0690106147069352E-3</v>
      </c>
      <c r="Y14" s="332" t="s">
        <v>26</v>
      </c>
      <c r="Z14" s="333" t="s">
        <v>232</v>
      </c>
      <c r="AA14" s="334" t="s">
        <v>195</v>
      </c>
      <c r="AB14" s="334">
        <f t="shared" si="3"/>
        <v>0.01</v>
      </c>
      <c r="AC14" s="334">
        <v>0.5</v>
      </c>
      <c r="AD14" s="334">
        <f t="shared" si="4"/>
        <v>0.505</v>
      </c>
      <c r="AE14" s="334">
        <v>0</v>
      </c>
      <c r="AF14" s="334">
        <f t="shared" si="5"/>
        <v>0</v>
      </c>
      <c r="AG14" s="334">
        <v>1</v>
      </c>
      <c r="AH14" s="334" t="s">
        <v>9</v>
      </c>
      <c r="AI14" s="334">
        <f t="shared" si="6"/>
        <v>2</v>
      </c>
      <c r="AJ14" s="334">
        <f t="shared" si="7"/>
        <v>1.75</v>
      </c>
      <c r="AK14" s="334">
        <f t="shared" si="8"/>
        <v>1.75</v>
      </c>
      <c r="AL14" s="334">
        <f t="shared" si="9"/>
        <v>45</v>
      </c>
      <c r="AM14" s="334">
        <f t="shared" si="10"/>
        <v>0.83333333333333326</v>
      </c>
      <c r="AN14" s="335">
        <f t="shared" si="11"/>
        <v>0.73645833333333333</v>
      </c>
      <c r="AO14" s="672">
        <f>AVERAGE(AN14:AN21)</f>
        <v>1.5255208333333332</v>
      </c>
      <c r="AQ14" s="254" t="s">
        <v>26</v>
      </c>
      <c r="AR14" s="225">
        <f t="shared" si="12"/>
        <v>84046875</v>
      </c>
      <c r="AS14" s="225">
        <f t="shared" si="13"/>
        <v>9.1913188726733836E-3</v>
      </c>
      <c r="AT14" s="225">
        <f t="shared" si="14"/>
        <v>0.73645833333333333</v>
      </c>
      <c r="AU14" s="225">
        <v>1</v>
      </c>
      <c r="AV14" s="225">
        <f t="shared" si="15"/>
        <v>568915.26173160586</v>
      </c>
      <c r="AW14" s="460">
        <f>SUM(AV14:AV21)</f>
        <v>4239775.4440279342</v>
      </c>
      <c r="AX14" s="460">
        <f>100*EXP((-1/13700000)*AW14)</f>
        <v>73.38338340326942</v>
      </c>
      <c r="AY14" s="624"/>
    </row>
    <row r="15" spans="1:51" ht="19.5" thickTop="1" x14ac:dyDescent="0.3">
      <c r="A15" s="2" t="s">
        <v>25</v>
      </c>
      <c r="B15" s="5" t="s">
        <v>17</v>
      </c>
      <c r="C15" s="54">
        <f>'Input sheet'!E17</f>
        <v>4125</v>
      </c>
      <c r="F15" s="98"/>
      <c r="K15" s="260" t="s">
        <v>27</v>
      </c>
      <c r="L15" s="109" t="s">
        <v>113</v>
      </c>
      <c r="M15" s="228">
        <f>C7*C17</f>
        <v>67031250</v>
      </c>
      <c r="N15" s="671"/>
      <c r="P15" s="259" t="s">
        <v>27</v>
      </c>
      <c r="Q15" s="45">
        <f>$C$29</f>
        <v>45</v>
      </c>
      <c r="R15" s="45">
        <f t="shared" si="16"/>
        <v>25</v>
      </c>
      <c r="S15" s="45">
        <v>45</v>
      </c>
      <c r="T15" s="45">
        <f t="shared" si="0"/>
        <v>16.271214938736659</v>
      </c>
      <c r="U15" s="45">
        <f t="shared" si="1"/>
        <v>4.6062682901169601E-3</v>
      </c>
      <c r="V15" s="45">
        <f t="shared" si="2"/>
        <v>9.1913188726733836E-3</v>
      </c>
      <c r="W15" s="671"/>
      <c r="Y15" s="260" t="s">
        <v>27</v>
      </c>
      <c r="Z15" s="336" t="s">
        <v>232</v>
      </c>
      <c r="AA15" s="232" t="s">
        <v>195</v>
      </c>
      <c r="AB15" s="232">
        <f t="shared" si="3"/>
        <v>0.01</v>
      </c>
      <c r="AC15" s="232">
        <v>0.5</v>
      </c>
      <c r="AD15" s="232">
        <f t="shared" si="4"/>
        <v>0.505</v>
      </c>
      <c r="AE15" s="232" t="s">
        <v>40</v>
      </c>
      <c r="AF15" s="232">
        <f t="shared" si="5"/>
        <v>3</v>
      </c>
      <c r="AG15" s="232">
        <v>1</v>
      </c>
      <c r="AH15" s="232" t="s">
        <v>9</v>
      </c>
      <c r="AI15" s="232">
        <f t="shared" si="6"/>
        <v>2</v>
      </c>
      <c r="AJ15" s="232">
        <f t="shared" si="7"/>
        <v>1.75</v>
      </c>
      <c r="AK15" s="232">
        <f t="shared" si="8"/>
        <v>4.75</v>
      </c>
      <c r="AL15" s="232">
        <f t="shared" si="9"/>
        <v>45</v>
      </c>
      <c r="AM15" s="232">
        <f t="shared" si="10"/>
        <v>0.83333333333333326</v>
      </c>
      <c r="AN15" s="233">
        <f t="shared" si="11"/>
        <v>1.9989583333333334</v>
      </c>
      <c r="AO15" s="673"/>
      <c r="AQ15" s="259" t="s">
        <v>27</v>
      </c>
      <c r="AR15" s="234">
        <f t="shared" si="12"/>
        <v>67031250</v>
      </c>
      <c r="AS15" s="234">
        <f t="shared" si="13"/>
        <v>9.1913188726733836E-3</v>
      </c>
      <c r="AT15" s="234">
        <f t="shared" si="14"/>
        <v>1.9989583333333334</v>
      </c>
      <c r="AU15" s="234">
        <v>1</v>
      </c>
      <c r="AV15" s="234">
        <f t="shared" si="15"/>
        <v>1231569.4097082091</v>
      </c>
      <c r="AW15" s="671"/>
      <c r="AX15" s="671"/>
      <c r="AY15" s="624"/>
    </row>
    <row r="16" spans="1:51" ht="18.75" customHeight="1" x14ac:dyDescent="0.3">
      <c r="A16" s="3"/>
      <c r="B16" s="6" t="s">
        <v>18</v>
      </c>
      <c r="C16" s="52">
        <f>'Input sheet'!E18</f>
        <v>8250</v>
      </c>
      <c r="K16" s="260" t="s">
        <v>22</v>
      </c>
      <c r="L16" s="109" t="s">
        <v>137</v>
      </c>
      <c r="M16" s="228">
        <f>C8*C10</f>
        <v>67031250</v>
      </c>
      <c r="N16" s="671"/>
      <c r="P16" s="259" t="s">
        <v>22</v>
      </c>
      <c r="Q16" s="45">
        <f>$C$30</f>
        <v>20</v>
      </c>
      <c r="R16" s="45">
        <f t="shared" si="16"/>
        <v>25</v>
      </c>
      <c r="S16" s="45">
        <v>45</v>
      </c>
      <c r="T16" s="45">
        <f t="shared" si="0"/>
        <v>8.9147801264732891</v>
      </c>
      <c r="U16" s="45">
        <f t="shared" si="1"/>
        <v>4.7096302149683109E-4</v>
      </c>
      <c r="V16" s="45">
        <f t="shared" si="2"/>
        <v>9.417042368260448E-4</v>
      </c>
      <c r="W16" s="671"/>
      <c r="Y16" s="260" t="s">
        <v>22</v>
      </c>
      <c r="Z16" s="336" t="s">
        <v>232</v>
      </c>
      <c r="AA16" s="232" t="s">
        <v>195</v>
      </c>
      <c r="AB16" s="232">
        <f t="shared" si="3"/>
        <v>0.01</v>
      </c>
      <c r="AC16" s="232">
        <v>0.5</v>
      </c>
      <c r="AD16" s="232">
        <f t="shared" si="4"/>
        <v>0.505</v>
      </c>
      <c r="AE16" s="232" t="s">
        <v>233</v>
      </c>
      <c r="AF16" s="232">
        <f t="shared" si="5"/>
        <v>4</v>
      </c>
      <c r="AG16" s="232">
        <v>0</v>
      </c>
      <c r="AH16" s="232" t="s">
        <v>15</v>
      </c>
      <c r="AI16" s="232">
        <f t="shared" si="6"/>
        <v>1</v>
      </c>
      <c r="AJ16" s="232">
        <f t="shared" si="7"/>
        <v>0</v>
      </c>
      <c r="AK16" s="232">
        <f t="shared" si="8"/>
        <v>4</v>
      </c>
      <c r="AL16" s="232">
        <f t="shared" si="9"/>
        <v>45</v>
      </c>
      <c r="AM16" s="232">
        <f t="shared" si="10"/>
        <v>0.83333333333333326</v>
      </c>
      <c r="AN16" s="233">
        <f t="shared" si="11"/>
        <v>1.6833333333333331</v>
      </c>
      <c r="AO16" s="673"/>
      <c r="AQ16" s="259" t="s">
        <v>22</v>
      </c>
      <c r="AR16" s="234">
        <f t="shared" si="12"/>
        <v>67031250</v>
      </c>
      <c r="AS16" s="234">
        <f t="shared" si="13"/>
        <v>9.417042368260448E-4</v>
      </c>
      <c r="AT16" s="234">
        <f t="shared" si="14"/>
        <v>1.6833333333333331</v>
      </c>
      <c r="AU16" s="234">
        <v>1</v>
      </c>
      <c r="AV16" s="234">
        <f t="shared" si="15"/>
        <v>106258.08040998878</v>
      </c>
      <c r="AW16" s="671"/>
      <c r="AX16" s="671"/>
      <c r="AY16" s="624"/>
    </row>
    <row r="17" spans="1:51" ht="20.25" customHeight="1" thickBot="1" x14ac:dyDescent="0.35">
      <c r="A17" s="4"/>
      <c r="B17" s="7" t="s">
        <v>19</v>
      </c>
      <c r="C17" s="53">
        <f>'Input sheet'!E19</f>
        <v>4125</v>
      </c>
      <c r="K17" s="260" t="s">
        <v>20</v>
      </c>
      <c r="L17" s="109" t="s">
        <v>160</v>
      </c>
      <c r="M17" s="228">
        <f>(C8+C10)*C12</f>
        <v>133046875</v>
      </c>
      <c r="N17" s="671"/>
      <c r="P17" s="259" t="s">
        <v>20</v>
      </c>
      <c r="Q17" s="45">
        <f>$C$31</f>
        <v>15</v>
      </c>
      <c r="R17" s="45">
        <f t="shared" si="16"/>
        <v>25</v>
      </c>
      <c r="S17" s="45">
        <v>45</v>
      </c>
      <c r="T17" s="45">
        <f t="shared" si="0"/>
        <v>8.9396576292116645</v>
      </c>
      <c r="U17" s="45">
        <f t="shared" si="1"/>
        <v>4.7596350895839364E-4</v>
      </c>
      <c r="V17" s="45">
        <f t="shared" si="2"/>
        <v>9.5170047665492732E-4</v>
      </c>
      <c r="W17" s="671"/>
      <c r="Y17" s="260" t="s">
        <v>20</v>
      </c>
      <c r="Z17" s="336" t="s">
        <v>232</v>
      </c>
      <c r="AA17" s="232" t="s">
        <v>195</v>
      </c>
      <c r="AB17" s="232">
        <f t="shared" si="3"/>
        <v>0.01</v>
      </c>
      <c r="AC17" s="232">
        <v>0.5</v>
      </c>
      <c r="AD17" s="232">
        <f t="shared" si="4"/>
        <v>0.505</v>
      </c>
      <c r="AE17" s="232" t="s">
        <v>233</v>
      </c>
      <c r="AF17" s="232">
        <f t="shared" si="5"/>
        <v>4</v>
      </c>
      <c r="AG17" s="232">
        <v>0</v>
      </c>
      <c r="AH17" s="232" t="s">
        <v>15</v>
      </c>
      <c r="AI17" s="232">
        <f t="shared" si="6"/>
        <v>1</v>
      </c>
      <c r="AJ17" s="232">
        <f t="shared" si="7"/>
        <v>0</v>
      </c>
      <c r="AK17" s="232">
        <f t="shared" si="8"/>
        <v>4</v>
      </c>
      <c r="AL17" s="232">
        <f t="shared" si="9"/>
        <v>45</v>
      </c>
      <c r="AM17" s="232">
        <f t="shared" si="10"/>
        <v>0.83333333333333326</v>
      </c>
      <c r="AN17" s="233">
        <f t="shared" si="11"/>
        <v>1.6833333333333331</v>
      </c>
      <c r="AO17" s="673"/>
      <c r="AQ17" s="259" t="s">
        <v>20</v>
      </c>
      <c r="AR17" s="234">
        <f t="shared" si="12"/>
        <v>133046875</v>
      </c>
      <c r="AS17" s="234">
        <f t="shared" si="13"/>
        <v>9.5170047665492732E-4</v>
      </c>
      <c r="AT17" s="234">
        <f t="shared" si="14"/>
        <v>1.6833333333333331</v>
      </c>
      <c r="AU17" s="234">
        <v>1</v>
      </c>
      <c r="AV17" s="234">
        <f t="shared" si="15"/>
        <v>213144.97016416333</v>
      </c>
      <c r="AW17" s="671"/>
      <c r="AX17" s="671"/>
      <c r="AY17" s="624"/>
    </row>
    <row r="18" spans="1:51" ht="20.25" customHeight="1" thickTop="1" thickBot="1" x14ac:dyDescent="0.35">
      <c r="A18" s="1"/>
      <c r="B18" s="8" t="s">
        <v>59</v>
      </c>
      <c r="C18" s="55">
        <f>'Input sheet'!E20</f>
        <v>98000</v>
      </c>
      <c r="K18" s="260" t="s">
        <v>28</v>
      </c>
      <c r="L18" s="109" t="s">
        <v>161</v>
      </c>
      <c r="M18" s="228">
        <f>C15*(C13+C11)</f>
        <v>84046875</v>
      </c>
      <c r="N18" s="671"/>
      <c r="P18" s="259" t="s">
        <v>28</v>
      </c>
      <c r="Q18" s="45">
        <f>$C$29</f>
        <v>45</v>
      </c>
      <c r="R18" s="45">
        <f t="shared" si="16"/>
        <v>25</v>
      </c>
      <c r="S18" s="45">
        <v>45</v>
      </c>
      <c r="T18" s="45">
        <f t="shared" si="0"/>
        <v>16.271214938736659</v>
      </c>
      <c r="U18" s="45">
        <f t="shared" si="1"/>
        <v>4.6062682901169601E-3</v>
      </c>
      <c r="V18" s="45">
        <f t="shared" si="2"/>
        <v>9.1913188726733836E-3</v>
      </c>
      <c r="W18" s="671"/>
      <c r="Y18" s="260" t="s">
        <v>28</v>
      </c>
      <c r="Z18" s="336" t="s">
        <v>232</v>
      </c>
      <c r="AA18" s="232" t="s">
        <v>195</v>
      </c>
      <c r="AB18" s="232">
        <f t="shared" si="3"/>
        <v>0.01</v>
      </c>
      <c r="AC18" s="232">
        <v>0.5</v>
      </c>
      <c r="AD18" s="232">
        <f t="shared" si="4"/>
        <v>0.505</v>
      </c>
      <c r="AE18" s="232">
        <v>0</v>
      </c>
      <c r="AF18" s="232">
        <f t="shared" si="5"/>
        <v>0</v>
      </c>
      <c r="AG18" s="232">
        <v>1</v>
      </c>
      <c r="AH18" s="232" t="s">
        <v>12</v>
      </c>
      <c r="AI18" s="232">
        <f t="shared" si="6"/>
        <v>2</v>
      </c>
      <c r="AJ18" s="232">
        <f t="shared" si="7"/>
        <v>1.75</v>
      </c>
      <c r="AK18" s="232">
        <f t="shared" si="8"/>
        <v>1.75</v>
      </c>
      <c r="AL18" s="232">
        <f t="shared" si="9"/>
        <v>45</v>
      </c>
      <c r="AM18" s="232">
        <f t="shared" si="10"/>
        <v>0.83333333333333326</v>
      </c>
      <c r="AN18" s="233">
        <f t="shared" si="11"/>
        <v>0.73645833333333333</v>
      </c>
      <c r="AO18" s="673"/>
      <c r="AQ18" s="259" t="s">
        <v>28</v>
      </c>
      <c r="AR18" s="234">
        <f t="shared" si="12"/>
        <v>84046875</v>
      </c>
      <c r="AS18" s="234">
        <f t="shared" si="13"/>
        <v>9.1913188726733836E-3</v>
      </c>
      <c r="AT18" s="234">
        <f t="shared" si="14"/>
        <v>0.73645833333333333</v>
      </c>
      <c r="AU18" s="234">
        <v>1</v>
      </c>
      <c r="AV18" s="234">
        <f t="shared" si="15"/>
        <v>568915.26173160586</v>
      </c>
      <c r="AW18" s="671"/>
      <c r="AX18" s="671"/>
      <c r="AY18" s="624"/>
    </row>
    <row r="19" spans="1:51" ht="19.5" customHeight="1" thickTop="1" x14ac:dyDescent="0.3">
      <c r="B19" s="29"/>
      <c r="C19" s="98"/>
      <c r="K19" s="260" t="s">
        <v>21</v>
      </c>
      <c r="L19" s="109" t="s">
        <v>117</v>
      </c>
      <c r="M19" s="228">
        <f>C13*C11</f>
        <v>67031250</v>
      </c>
      <c r="N19" s="671"/>
      <c r="P19" s="259" t="s">
        <v>21</v>
      </c>
      <c r="Q19" s="45">
        <f>$C$29</f>
        <v>45</v>
      </c>
      <c r="R19" s="45">
        <f t="shared" si="16"/>
        <v>25</v>
      </c>
      <c r="S19" s="45">
        <v>45</v>
      </c>
      <c r="T19" s="45">
        <f t="shared" si="0"/>
        <v>16.271214938736659</v>
      </c>
      <c r="U19" s="45">
        <f t="shared" si="1"/>
        <v>4.6062682901169601E-3</v>
      </c>
      <c r="V19" s="45">
        <f t="shared" si="2"/>
        <v>9.1913188726733836E-3</v>
      </c>
      <c r="W19" s="671"/>
      <c r="Y19" s="260" t="s">
        <v>21</v>
      </c>
      <c r="Z19" s="336" t="s">
        <v>232</v>
      </c>
      <c r="AA19" s="232" t="s">
        <v>195</v>
      </c>
      <c r="AB19" s="232">
        <f t="shared" si="3"/>
        <v>0.01</v>
      </c>
      <c r="AC19" s="232">
        <v>0.5</v>
      </c>
      <c r="AD19" s="232">
        <f t="shared" si="4"/>
        <v>0.505</v>
      </c>
      <c r="AE19" s="232" t="s">
        <v>41</v>
      </c>
      <c r="AF19" s="232">
        <f t="shared" si="5"/>
        <v>3</v>
      </c>
      <c r="AG19" s="232">
        <v>1</v>
      </c>
      <c r="AH19" s="232" t="s">
        <v>12</v>
      </c>
      <c r="AI19" s="232">
        <f t="shared" si="6"/>
        <v>2</v>
      </c>
      <c r="AJ19" s="232">
        <f t="shared" si="7"/>
        <v>1.75</v>
      </c>
      <c r="AK19" s="232">
        <f t="shared" si="8"/>
        <v>4.75</v>
      </c>
      <c r="AL19" s="232">
        <f t="shared" si="9"/>
        <v>45</v>
      </c>
      <c r="AM19" s="232">
        <f t="shared" si="10"/>
        <v>0.83333333333333326</v>
      </c>
      <c r="AN19" s="233">
        <f t="shared" si="11"/>
        <v>1.9989583333333334</v>
      </c>
      <c r="AO19" s="673"/>
      <c r="AQ19" s="259" t="s">
        <v>21</v>
      </c>
      <c r="AR19" s="234">
        <f t="shared" si="12"/>
        <v>67031250</v>
      </c>
      <c r="AS19" s="234">
        <f t="shared" si="13"/>
        <v>9.1913188726733836E-3</v>
      </c>
      <c r="AT19" s="234">
        <f t="shared" si="14"/>
        <v>1.9989583333333334</v>
      </c>
      <c r="AU19" s="234">
        <v>1</v>
      </c>
      <c r="AV19" s="234">
        <f t="shared" si="15"/>
        <v>1231569.4097082091</v>
      </c>
      <c r="AW19" s="671"/>
      <c r="AX19" s="671"/>
      <c r="AY19" s="624"/>
    </row>
    <row r="20" spans="1:51" ht="19.5" thickBot="1" x14ac:dyDescent="0.35">
      <c r="K20" s="260" t="s">
        <v>29</v>
      </c>
      <c r="L20" s="109" t="s">
        <v>138</v>
      </c>
      <c r="M20" s="228">
        <f>C14*C16</f>
        <v>67031250</v>
      </c>
      <c r="N20" s="671"/>
      <c r="P20" s="259" t="s">
        <v>29</v>
      </c>
      <c r="Q20" s="45">
        <f>$C$30</f>
        <v>20</v>
      </c>
      <c r="R20" s="45">
        <f t="shared" si="16"/>
        <v>25</v>
      </c>
      <c r="S20" s="45">
        <v>45</v>
      </c>
      <c r="T20" s="45">
        <f t="shared" si="0"/>
        <v>8.9147801264732891</v>
      </c>
      <c r="U20" s="45">
        <f t="shared" si="1"/>
        <v>4.7096302149683109E-4</v>
      </c>
      <c r="V20" s="45">
        <f t="shared" si="2"/>
        <v>9.417042368260448E-4</v>
      </c>
      <c r="W20" s="671"/>
      <c r="Y20" s="260" t="s">
        <v>29</v>
      </c>
      <c r="Z20" s="336" t="s">
        <v>232</v>
      </c>
      <c r="AA20" s="232" t="s">
        <v>195</v>
      </c>
      <c r="AB20" s="232">
        <f t="shared" si="3"/>
        <v>0.01</v>
      </c>
      <c r="AC20" s="232">
        <v>0.5</v>
      </c>
      <c r="AD20" s="232">
        <f t="shared" si="4"/>
        <v>0.505</v>
      </c>
      <c r="AE20" s="232" t="s">
        <v>234</v>
      </c>
      <c r="AF20" s="232">
        <f t="shared" si="5"/>
        <v>4</v>
      </c>
      <c r="AG20" s="232">
        <v>0</v>
      </c>
      <c r="AH20" s="232" t="s">
        <v>18</v>
      </c>
      <c r="AI20" s="232">
        <f t="shared" si="6"/>
        <v>1</v>
      </c>
      <c r="AJ20" s="232">
        <f t="shared" si="7"/>
        <v>0</v>
      </c>
      <c r="AK20" s="232">
        <f t="shared" si="8"/>
        <v>4</v>
      </c>
      <c r="AL20" s="232">
        <f t="shared" si="9"/>
        <v>45</v>
      </c>
      <c r="AM20" s="232">
        <f t="shared" si="10"/>
        <v>0.83333333333333326</v>
      </c>
      <c r="AN20" s="233">
        <f t="shared" si="11"/>
        <v>1.6833333333333331</v>
      </c>
      <c r="AO20" s="673"/>
      <c r="AQ20" s="259" t="s">
        <v>29</v>
      </c>
      <c r="AR20" s="234">
        <f t="shared" si="12"/>
        <v>67031250</v>
      </c>
      <c r="AS20" s="234">
        <f t="shared" si="13"/>
        <v>9.417042368260448E-4</v>
      </c>
      <c r="AT20" s="234">
        <f t="shared" si="14"/>
        <v>1.6833333333333331</v>
      </c>
      <c r="AU20" s="234">
        <v>1</v>
      </c>
      <c r="AV20" s="234">
        <f t="shared" si="15"/>
        <v>106258.08040998878</v>
      </c>
      <c r="AW20" s="671"/>
      <c r="AX20" s="671"/>
      <c r="AY20" s="624"/>
    </row>
    <row r="21" spans="1:51" ht="20.25" thickTop="1" thickBot="1" x14ac:dyDescent="0.35">
      <c r="A21" s="699" t="s">
        <v>245</v>
      </c>
      <c r="B21" s="700"/>
      <c r="C21" s="701"/>
      <c r="K21" s="264" t="s">
        <v>30</v>
      </c>
      <c r="L21" s="105" t="s">
        <v>140</v>
      </c>
      <c r="M21" s="245">
        <f>(C14+C16)*C6</f>
        <v>133046875</v>
      </c>
      <c r="N21" s="461"/>
      <c r="P21" s="263" t="s">
        <v>30</v>
      </c>
      <c r="Q21" s="46">
        <f>$C$31</f>
        <v>15</v>
      </c>
      <c r="R21" s="46">
        <f t="shared" si="16"/>
        <v>25</v>
      </c>
      <c r="S21" s="46">
        <v>45</v>
      </c>
      <c r="T21" s="46">
        <f t="shared" si="0"/>
        <v>8.9396576292116645</v>
      </c>
      <c r="U21" s="46">
        <f t="shared" si="1"/>
        <v>4.7596350895839364E-4</v>
      </c>
      <c r="V21" s="46">
        <f t="shared" si="2"/>
        <v>9.5170047665492732E-4</v>
      </c>
      <c r="W21" s="461"/>
      <c r="Y21" s="264" t="s">
        <v>30</v>
      </c>
      <c r="Z21" s="336" t="s">
        <v>232</v>
      </c>
      <c r="AA21" s="337" t="s">
        <v>195</v>
      </c>
      <c r="AB21" s="337">
        <f t="shared" si="3"/>
        <v>0.01</v>
      </c>
      <c r="AC21" s="337">
        <v>0.5</v>
      </c>
      <c r="AD21" s="337">
        <f t="shared" si="4"/>
        <v>0.505</v>
      </c>
      <c r="AE21" s="337" t="s">
        <v>234</v>
      </c>
      <c r="AF21" s="337">
        <f t="shared" si="5"/>
        <v>4</v>
      </c>
      <c r="AG21" s="337">
        <v>0</v>
      </c>
      <c r="AH21" s="337" t="s">
        <v>18</v>
      </c>
      <c r="AI21" s="337">
        <f t="shared" si="6"/>
        <v>1</v>
      </c>
      <c r="AJ21" s="337">
        <f t="shared" si="7"/>
        <v>0</v>
      </c>
      <c r="AK21" s="337">
        <f t="shared" si="8"/>
        <v>4</v>
      </c>
      <c r="AL21" s="337">
        <f t="shared" si="9"/>
        <v>45</v>
      </c>
      <c r="AM21" s="337">
        <f t="shared" si="10"/>
        <v>0.83333333333333326</v>
      </c>
      <c r="AN21" s="338">
        <f t="shared" si="11"/>
        <v>1.6833333333333331</v>
      </c>
      <c r="AO21" s="674"/>
      <c r="AQ21" s="263" t="s">
        <v>30</v>
      </c>
      <c r="AR21" s="251">
        <f t="shared" si="12"/>
        <v>133046875</v>
      </c>
      <c r="AS21" s="251">
        <f t="shared" si="13"/>
        <v>9.5170047665492732E-4</v>
      </c>
      <c r="AT21" s="251">
        <f t="shared" si="14"/>
        <v>1.6833333333333331</v>
      </c>
      <c r="AU21" s="251">
        <v>1</v>
      </c>
      <c r="AV21" s="251">
        <f t="shared" si="15"/>
        <v>213144.97016416333</v>
      </c>
      <c r="AW21" s="461"/>
      <c r="AX21" s="461"/>
      <c r="AY21" s="624"/>
    </row>
    <row r="22" spans="1:51" ht="19.5" thickTop="1" x14ac:dyDescent="0.3">
      <c r="A22" s="460" t="s">
        <v>191</v>
      </c>
      <c r="B22" s="104" t="s">
        <v>9</v>
      </c>
      <c r="C22" s="93">
        <f>'Input sheet'!E38</f>
        <v>2</v>
      </c>
      <c r="K22" s="340" t="s">
        <v>26</v>
      </c>
      <c r="L22" s="104" t="s">
        <v>121</v>
      </c>
      <c r="M22" s="218">
        <f>C10*C7</f>
        <v>134062500</v>
      </c>
      <c r="N22" s="460">
        <f>SUM(M22:M35)</f>
        <v>1270562500</v>
      </c>
      <c r="P22" s="339" t="s">
        <v>26</v>
      </c>
      <c r="Q22" s="268">
        <f>$C$29</f>
        <v>45</v>
      </c>
      <c r="R22" s="268">
        <f>$C$32</f>
        <v>15</v>
      </c>
      <c r="S22" s="268">
        <v>270</v>
      </c>
      <c r="T22" s="268">
        <f t="shared" si="0"/>
        <v>23.717082451262847</v>
      </c>
      <c r="U22" s="268">
        <f t="shared" si="1"/>
        <v>1.9210987348136605E-2</v>
      </c>
      <c r="V22" s="268">
        <f t="shared" si="2"/>
        <v>3.8052912661382943E-2</v>
      </c>
      <c r="W22" s="460">
        <f>AVERAGE(V22:V35)</f>
        <v>4.1171059676162761E-2</v>
      </c>
      <c r="Y22" s="340" t="s">
        <v>26</v>
      </c>
      <c r="Z22" s="333" t="s">
        <v>235</v>
      </c>
      <c r="AA22" s="222" t="s">
        <v>247</v>
      </c>
      <c r="AB22" s="222">
        <f t="shared" si="3"/>
        <v>0.01</v>
      </c>
      <c r="AC22" s="222">
        <v>0.5</v>
      </c>
      <c r="AD22" s="222">
        <f t="shared" si="4"/>
        <v>0.505</v>
      </c>
      <c r="AE22" s="222" t="s">
        <v>233</v>
      </c>
      <c r="AF22" s="222">
        <f t="shared" si="5"/>
        <v>4</v>
      </c>
      <c r="AG22" s="222">
        <v>0</v>
      </c>
      <c r="AH22" s="222" t="s">
        <v>15</v>
      </c>
      <c r="AI22" s="222">
        <f t="shared" si="6"/>
        <v>1</v>
      </c>
      <c r="AJ22" s="222">
        <f t="shared" si="7"/>
        <v>0</v>
      </c>
      <c r="AK22" s="222">
        <f t="shared" si="8"/>
        <v>4</v>
      </c>
      <c r="AL22" s="222">
        <f t="shared" si="9"/>
        <v>45</v>
      </c>
      <c r="AM22" s="222">
        <f t="shared" si="10"/>
        <v>0.83333333333333326</v>
      </c>
      <c r="AN22" s="223">
        <f t="shared" si="11"/>
        <v>1.6833333333333331</v>
      </c>
      <c r="AO22" s="672">
        <f>AVERAGE(AN22:AN35)</f>
        <v>1.7133928571428572</v>
      </c>
      <c r="AQ22" s="339" t="s">
        <v>26</v>
      </c>
      <c r="AR22" s="225">
        <f t="shared" si="12"/>
        <v>134062500</v>
      </c>
      <c r="AS22" s="225">
        <f t="shared" si="13"/>
        <v>3.8052912661382943E-2</v>
      </c>
      <c r="AT22" s="225">
        <f t="shared" si="14"/>
        <v>1.6833333333333331</v>
      </c>
      <c r="AU22" s="225">
        <v>1</v>
      </c>
      <c r="AV22" s="225">
        <f t="shared" si="15"/>
        <v>8587472.1495055277</v>
      </c>
      <c r="AW22" s="460">
        <f>SUM(AV22:AV35)</f>
        <v>117384867.58613172</v>
      </c>
      <c r="AX22" s="460">
        <f>100*EXP((-1/13700000)*AW22)</f>
        <v>1.900471212569874E-2</v>
      </c>
      <c r="AY22" s="624"/>
    </row>
    <row r="23" spans="1:51" ht="19.5" thickBot="1" x14ac:dyDescent="0.35">
      <c r="A23" s="461"/>
      <c r="B23" s="105" t="s">
        <v>12</v>
      </c>
      <c r="C23" s="94">
        <f>'Input sheet'!E39</f>
        <v>2</v>
      </c>
      <c r="K23" s="342" t="s">
        <v>27</v>
      </c>
      <c r="L23" s="109" t="s">
        <v>162</v>
      </c>
      <c r="M23" s="228">
        <f>C10*C13</f>
        <v>134062500</v>
      </c>
      <c r="N23" s="671"/>
      <c r="P23" s="341" t="s">
        <v>27</v>
      </c>
      <c r="Q23" s="45">
        <f>$C$29</f>
        <v>45</v>
      </c>
      <c r="R23" s="45">
        <f>$C$33</f>
        <v>25</v>
      </c>
      <c r="S23" s="45">
        <v>270</v>
      </c>
      <c r="T23" s="45">
        <f t="shared" si="0"/>
        <v>25.739075352467502</v>
      </c>
      <c r="U23" s="45">
        <f t="shared" si="1"/>
        <v>2.6194779393934508E-2</v>
      </c>
      <c r="V23" s="45">
        <f t="shared" si="2"/>
        <v>5.1703392320372119E-2</v>
      </c>
      <c r="W23" s="671"/>
      <c r="Y23" s="342" t="s">
        <v>27</v>
      </c>
      <c r="Z23" s="336" t="s">
        <v>235</v>
      </c>
      <c r="AA23" s="232" t="s">
        <v>247</v>
      </c>
      <c r="AB23" s="232">
        <f t="shared" si="3"/>
        <v>0.01</v>
      </c>
      <c r="AC23" s="232">
        <v>0.5</v>
      </c>
      <c r="AD23" s="232">
        <f t="shared" si="4"/>
        <v>0.505</v>
      </c>
      <c r="AE23" s="232" t="s">
        <v>233</v>
      </c>
      <c r="AF23" s="232">
        <f t="shared" si="5"/>
        <v>4</v>
      </c>
      <c r="AG23" s="232">
        <v>0</v>
      </c>
      <c r="AH23" s="232" t="s">
        <v>15</v>
      </c>
      <c r="AI23" s="232">
        <f t="shared" si="6"/>
        <v>1</v>
      </c>
      <c r="AJ23" s="232">
        <f t="shared" si="7"/>
        <v>0</v>
      </c>
      <c r="AK23" s="232">
        <f t="shared" si="8"/>
        <v>4</v>
      </c>
      <c r="AL23" s="232">
        <f t="shared" si="9"/>
        <v>45</v>
      </c>
      <c r="AM23" s="232">
        <f t="shared" si="10"/>
        <v>0.83333333333333326</v>
      </c>
      <c r="AN23" s="233">
        <f t="shared" si="11"/>
        <v>1.6833333333333331</v>
      </c>
      <c r="AO23" s="673"/>
      <c r="AQ23" s="341" t="s">
        <v>27</v>
      </c>
      <c r="AR23" s="234">
        <f t="shared" si="12"/>
        <v>134062500</v>
      </c>
      <c r="AS23" s="234">
        <f t="shared" si="13"/>
        <v>5.1703392320372119E-2</v>
      </c>
      <c r="AT23" s="234">
        <f t="shared" si="14"/>
        <v>1.6833333333333331</v>
      </c>
      <c r="AU23" s="234">
        <v>1</v>
      </c>
      <c r="AV23" s="234">
        <f t="shared" si="15"/>
        <v>11668001.488798976</v>
      </c>
      <c r="AW23" s="671"/>
      <c r="AX23" s="671"/>
      <c r="AY23" s="624"/>
    </row>
    <row r="24" spans="1:51" ht="19.5" thickTop="1" x14ac:dyDescent="0.3">
      <c r="A24" s="460" t="s">
        <v>192</v>
      </c>
      <c r="B24" s="104" t="s">
        <v>15</v>
      </c>
      <c r="C24" s="93">
        <f>'Input sheet'!E40</f>
        <v>1</v>
      </c>
      <c r="F24" s="98"/>
      <c r="K24" s="342" t="s">
        <v>22</v>
      </c>
      <c r="L24" s="109" t="s">
        <v>163</v>
      </c>
      <c r="M24" s="228">
        <f>C16*C13</f>
        <v>134062500</v>
      </c>
      <c r="N24" s="671"/>
      <c r="P24" s="341" t="s">
        <v>22</v>
      </c>
      <c r="Q24" s="45">
        <f>$C$29</f>
        <v>45</v>
      </c>
      <c r="R24" s="45">
        <f>$C$33</f>
        <v>25</v>
      </c>
      <c r="S24" s="45">
        <v>270</v>
      </c>
      <c r="T24" s="45">
        <f t="shared" si="0"/>
        <v>25.739075352467502</v>
      </c>
      <c r="U24" s="45">
        <f t="shared" si="1"/>
        <v>2.6194779393934508E-2</v>
      </c>
      <c r="V24" s="45">
        <f t="shared" si="2"/>
        <v>5.1703392320372119E-2</v>
      </c>
      <c r="W24" s="671"/>
      <c r="Y24" s="342" t="s">
        <v>22</v>
      </c>
      <c r="Z24" s="336" t="s">
        <v>235</v>
      </c>
      <c r="AA24" s="232" t="s">
        <v>247</v>
      </c>
      <c r="AB24" s="232">
        <f t="shared" si="3"/>
        <v>0.01</v>
      </c>
      <c r="AC24" s="232">
        <v>0.5</v>
      </c>
      <c r="AD24" s="232">
        <f t="shared" si="4"/>
        <v>0.505</v>
      </c>
      <c r="AE24" s="232" t="s">
        <v>234</v>
      </c>
      <c r="AF24" s="232">
        <f t="shared" si="5"/>
        <v>4</v>
      </c>
      <c r="AG24" s="232">
        <v>0</v>
      </c>
      <c r="AH24" s="232" t="s">
        <v>18</v>
      </c>
      <c r="AI24" s="232">
        <f t="shared" si="6"/>
        <v>1</v>
      </c>
      <c r="AJ24" s="232">
        <f t="shared" si="7"/>
        <v>0</v>
      </c>
      <c r="AK24" s="232">
        <f t="shared" si="8"/>
        <v>4</v>
      </c>
      <c r="AL24" s="232">
        <f t="shared" si="9"/>
        <v>45</v>
      </c>
      <c r="AM24" s="232">
        <f t="shared" si="10"/>
        <v>0.83333333333333326</v>
      </c>
      <c r="AN24" s="233">
        <f t="shared" si="11"/>
        <v>1.6833333333333331</v>
      </c>
      <c r="AO24" s="673"/>
      <c r="AQ24" s="341" t="s">
        <v>22</v>
      </c>
      <c r="AR24" s="234">
        <f t="shared" si="12"/>
        <v>134062500</v>
      </c>
      <c r="AS24" s="234">
        <f t="shared" si="13"/>
        <v>5.1703392320372119E-2</v>
      </c>
      <c r="AT24" s="234">
        <f t="shared" si="14"/>
        <v>1.6833333333333331</v>
      </c>
      <c r="AU24" s="234">
        <v>1</v>
      </c>
      <c r="AV24" s="234">
        <f t="shared" si="15"/>
        <v>11668001.488798976</v>
      </c>
      <c r="AW24" s="671"/>
      <c r="AX24" s="671"/>
      <c r="AY24" s="624"/>
    </row>
    <row r="25" spans="1:51" ht="18.75" customHeight="1" thickBot="1" x14ac:dyDescent="0.35">
      <c r="A25" s="461"/>
      <c r="B25" s="105" t="s">
        <v>18</v>
      </c>
      <c r="C25" s="94">
        <f>'Input sheet'!E41</f>
        <v>1</v>
      </c>
      <c r="K25" s="342" t="s">
        <v>20</v>
      </c>
      <c r="L25" s="109" t="s">
        <v>164</v>
      </c>
      <c r="M25" s="228">
        <f>C7*C16</f>
        <v>134062500</v>
      </c>
      <c r="N25" s="671"/>
      <c r="P25" s="341" t="s">
        <v>20</v>
      </c>
      <c r="Q25" s="45">
        <f>$C$29</f>
        <v>45</v>
      </c>
      <c r="R25" s="45">
        <f>$C$33</f>
        <v>25</v>
      </c>
      <c r="S25" s="45">
        <v>270</v>
      </c>
      <c r="T25" s="45">
        <f t="shared" si="0"/>
        <v>25.739075352467502</v>
      </c>
      <c r="U25" s="45">
        <f t="shared" si="1"/>
        <v>2.6194779393934508E-2</v>
      </c>
      <c r="V25" s="45">
        <f t="shared" si="2"/>
        <v>5.1703392320372119E-2</v>
      </c>
      <c r="W25" s="671"/>
      <c r="Y25" s="342" t="s">
        <v>20</v>
      </c>
      <c r="Z25" s="336" t="s">
        <v>235</v>
      </c>
      <c r="AA25" s="232" t="s">
        <v>247</v>
      </c>
      <c r="AB25" s="232">
        <f t="shared" si="3"/>
        <v>0.01</v>
      </c>
      <c r="AC25" s="232">
        <v>0.5</v>
      </c>
      <c r="AD25" s="232">
        <f t="shared" si="4"/>
        <v>0.505</v>
      </c>
      <c r="AE25" s="232" t="s">
        <v>234</v>
      </c>
      <c r="AF25" s="232">
        <f t="shared" si="5"/>
        <v>4</v>
      </c>
      <c r="AG25" s="232">
        <v>0</v>
      </c>
      <c r="AH25" s="232" t="s">
        <v>18</v>
      </c>
      <c r="AI25" s="232">
        <f t="shared" si="6"/>
        <v>1</v>
      </c>
      <c r="AJ25" s="232">
        <f t="shared" si="7"/>
        <v>0</v>
      </c>
      <c r="AK25" s="232">
        <f t="shared" si="8"/>
        <v>4</v>
      </c>
      <c r="AL25" s="232">
        <f t="shared" si="9"/>
        <v>45</v>
      </c>
      <c r="AM25" s="232">
        <f t="shared" si="10"/>
        <v>0.83333333333333326</v>
      </c>
      <c r="AN25" s="233">
        <f t="shared" si="11"/>
        <v>1.6833333333333331</v>
      </c>
      <c r="AO25" s="673"/>
      <c r="AQ25" s="341" t="s">
        <v>20</v>
      </c>
      <c r="AR25" s="234">
        <f t="shared" si="12"/>
        <v>134062500</v>
      </c>
      <c r="AS25" s="234">
        <f t="shared" si="13"/>
        <v>5.1703392320372119E-2</v>
      </c>
      <c r="AT25" s="234">
        <f t="shared" si="14"/>
        <v>1.6833333333333331</v>
      </c>
      <c r="AU25" s="234">
        <v>1</v>
      </c>
      <c r="AV25" s="234">
        <f t="shared" si="15"/>
        <v>11668001.488798976</v>
      </c>
      <c r="AW25" s="671"/>
      <c r="AX25" s="671"/>
      <c r="AY25" s="624"/>
    </row>
    <row r="26" spans="1:51" ht="19.5" thickTop="1" x14ac:dyDescent="0.3">
      <c r="G26" s="99"/>
      <c r="K26" s="342" t="s">
        <v>28</v>
      </c>
      <c r="L26" s="109" t="s">
        <v>136</v>
      </c>
      <c r="M26" s="228">
        <f>C11*C16</f>
        <v>34031250</v>
      </c>
      <c r="N26" s="671"/>
      <c r="P26" s="341" t="s">
        <v>28</v>
      </c>
      <c r="Q26" s="45">
        <f>$C$32</f>
        <v>15</v>
      </c>
      <c r="R26" s="45">
        <f>$C$33</f>
        <v>25</v>
      </c>
      <c r="S26" s="45">
        <v>230</v>
      </c>
      <c r="T26" s="45">
        <f t="shared" si="0"/>
        <v>18.248908921254063</v>
      </c>
      <c r="U26" s="45">
        <f t="shared" si="1"/>
        <v>7.1146798558078322E-3</v>
      </c>
      <c r="V26" s="45">
        <f t="shared" si="2"/>
        <v>1.4178741042165027E-2</v>
      </c>
      <c r="W26" s="671"/>
      <c r="Y26" s="342" t="s">
        <v>28</v>
      </c>
      <c r="Z26" s="336" t="s">
        <v>235</v>
      </c>
      <c r="AA26" s="232" t="s">
        <v>247</v>
      </c>
      <c r="AB26" s="232">
        <f t="shared" si="3"/>
        <v>0.01</v>
      </c>
      <c r="AC26" s="232">
        <v>0.5</v>
      </c>
      <c r="AD26" s="232">
        <f t="shared" si="4"/>
        <v>0.505</v>
      </c>
      <c r="AE26" s="232" t="s">
        <v>41</v>
      </c>
      <c r="AF26" s="232">
        <f t="shared" si="5"/>
        <v>3</v>
      </c>
      <c r="AG26" s="232">
        <v>1</v>
      </c>
      <c r="AH26" s="232" t="s">
        <v>12</v>
      </c>
      <c r="AI26" s="232">
        <f t="shared" si="6"/>
        <v>2</v>
      </c>
      <c r="AJ26" s="232">
        <f t="shared" si="7"/>
        <v>1.75</v>
      </c>
      <c r="AK26" s="232">
        <f t="shared" si="8"/>
        <v>4.75</v>
      </c>
      <c r="AL26" s="232">
        <f t="shared" si="9"/>
        <v>45</v>
      </c>
      <c r="AM26" s="232">
        <f t="shared" si="10"/>
        <v>0.83333333333333326</v>
      </c>
      <c r="AN26" s="233">
        <f t="shared" si="11"/>
        <v>1.9989583333333334</v>
      </c>
      <c r="AO26" s="673"/>
      <c r="AQ26" s="341" t="s">
        <v>28</v>
      </c>
      <c r="AR26" s="234">
        <f t="shared" si="12"/>
        <v>34031250</v>
      </c>
      <c r="AS26" s="234">
        <f t="shared" si="13"/>
        <v>1.4178741042165027E-2</v>
      </c>
      <c r="AT26" s="234">
        <f t="shared" si="14"/>
        <v>1.9989583333333334</v>
      </c>
      <c r="AU26" s="234">
        <v>1</v>
      </c>
      <c r="AV26" s="234">
        <f t="shared" si="15"/>
        <v>964537.93688955379</v>
      </c>
      <c r="AW26" s="671"/>
      <c r="AX26" s="671"/>
      <c r="AY26" s="624"/>
    </row>
    <row r="27" spans="1:51" ht="19.5" thickBot="1" x14ac:dyDescent="0.35">
      <c r="G27" s="99"/>
      <c r="K27" s="342" t="s">
        <v>21</v>
      </c>
      <c r="L27" s="109" t="s">
        <v>165</v>
      </c>
      <c r="M27" s="228">
        <f>C11*C7</f>
        <v>67031250</v>
      </c>
      <c r="N27" s="671"/>
      <c r="P27" s="341" t="s">
        <v>21</v>
      </c>
      <c r="Q27" s="45">
        <f>$C$29</f>
        <v>45</v>
      </c>
      <c r="R27" s="45">
        <f>$C$32</f>
        <v>15</v>
      </c>
      <c r="S27" s="45">
        <v>230</v>
      </c>
      <c r="T27" s="45">
        <f t="shared" si="0"/>
        <v>27.918467333813421</v>
      </c>
      <c r="U27" s="45">
        <f t="shared" si="1"/>
        <v>3.5644830871376348E-2</v>
      </c>
      <c r="V27" s="45">
        <f t="shared" si="2"/>
        <v>7.0019107774903666E-2</v>
      </c>
      <c r="W27" s="671"/>
      <c r="Y27" s="342" t="s">
        <v>21</v>
      </c>
      <c r="Z27" s="336" t="s">
        <v>235</v>
      </c>
      <c r="AA27" s="232" t="s">
        <v>247</v>
      </c>
      <c r="AB27" s="232">
        <f t="shared" si="3"/>
        <v>0.01</v>
      </c>
      <c r="AC27" s="232">
        <v>0.5</v>
      </c>
      <c r="AD27" s="232">
        <f t="shared" si="4"/>
        <v>0.505</v>
      </c>
      <c r="AE27" s="232" t="s">
        <v>41</v>
      </c>
      <c r="AF27" s="232">
        <f t="shared" si="5"/>
        <v>3</v>
      </c>
      <c r="AG27" s="232">
        <v>1</v>
      </c>
      <c r="AH27" s="232" t="s">
        <v>12</v>
      </c>
      <c r="AI27" s="232">
        <f t="shared" si="6"/>
        <v>2</v>
      </c>
      <c r="AJ27" s="232">
        <f t="shared" si="7"/>
        <v>1.75</v>
      </c>
      <c r="AK27" s="232">
        <f t="shared" si="8"/>
        <v>4.75</v>
      </c>
      <c r="AL27" s="232">
        <f t="shared" si="9"/>
        <v>45</v>
      </c>
      <c r="AM27" s="232">
        <f t="shared" si="10"/>
        <v>0.83333333333333326</v>
      </c>
      <c r="AN27" s="233">
        <f t="shared" si="11"/>
        <v>1.9989583333333334</v>
      </c>
      <c r="AO27" s="673"/>
      <c r="AQ27" s="341" t="s">
        <v>21</v>
      </c>
      <c r="AR27" s="234">
        <f t="shared" si="12"/>
        <v>67031250</v>
      </c>
      <c r="AS27" s="234">
        <f t="shared" si="13"/>
        <v>7.0019107774903666E-2</v>
      </c>
      <c r="AT27" s="234">
        <f t="shared" si="14"/>
        <v>1.9989583333333334</v>
      </c>
      <c r="AU27" s="234">
        <v>1</v>
      </c>
      <c r="AV27" s="234">
        <f t="shared" si="15"/>
        <v>9382047.6065750681</v>
      </c>
      <c r="AW27" s="671"/>
      <c r="AX27" s="671"/>
      <c r="AY27" s="624"/>
    </row>
    <row r="28" spans="1:51" ht="20.25" thickTop="1" thickBot="1" x14ac:dyDescent="0.35">
      <c r="B28" s="706" t="s">
        <v>199</v>
      </c>
      <c r="C28" s="707"/>
      <c r="K28" s="342" t="s">
        <v>29</v>
      </c>
      <c r="L28" s="109" t="s">
        <v>166</v>
      </c>
      <c r="M28" s="228">
        <f>C17*C10</f>
        <v>34031250</v>
      </c>
      <c r="N28" s="671"/>
      <c r="P28" s="341" t="s">
        <v>29</v>
      </c>
      <c r="Q28" s="45">
        <f>$C$32</f>
        <v>15</v>
      </c>
      <c r="R28" s="45">
        <f>$C$33</f>
        <v>25</v>
      </c>
      <c r="S28" s="45">
        <v>230</v>
      </c>
      <c r="T28" s="45">
        <f t="shared" si="0"/>
        <v>18.248908921254063</v>
      </c>
      <c r="U28" s="45">
        <f t="shared" si="1"/>
        <v>7.1146798558078322E-3</v>
      </c>
      <c r="V28" s="45">
        <f t="shared" si="2"/>
        <v>1.4178741042165027E-2</v>
      </c>
      <c r="W28" s="671"/>
      <c r="Y28" s="342" t="s">
        <v>29</v>
      </c>
      <c r="Z28" s="336" t="s">
        <v>235</v>
      </c>
      <c r="AA28" s="232" t="s">
        <v>247</v>
      </c>
      <c r="AB28" s="232">
        <f t="shared" si="3"/>
        <v>0.01</v>
      </c>
      <c r="AC28" s="232">
        <v>0.5</v>
      </c>
      <c r="AD28" s="232">
        <f t="shared" si="4"/>
        <v>0.505</v>
      </c>
      <c r="AE28" s="232" t="s">
        <v>40</v>
      </c>
      <c r="AF28" s="232">
        <f t="shared" si="5"/>
        <v>3</v>
      </c>
      <c r="AG28" s="232">
        <v>1</v>
      </c>
      <c r="AH28" s="232" t="s">
        <v>9</v>
      </c>
      <c r="AI28" s="232">
        <f t="shared" si="6"/>
        <v>2</v>
      </c>
      <c r="AJ28" s="232">
        <f t="shared" si="7"/>
        <v>1.75</v>
      </c>
      <c r="AK28" s="232">
        <f t="shared" si="8"/>
        <v>4.75</v>
      </c>
      <c r="AL28" s="232">
        <f t="shared" si="9"/>
        <v>45</v>
      </c>
      <c r="AM28" s="232">
        <f t="shared" si="10"/>
        <v>0.83333333333333326</v>
      </c>
      <c r="AN28" s="233">
        <f t="shared" si="11"/>
        <v>1.9989583333333334</v>
      </c>
      <c r="AO28" s="673"/>
      <c r="AQ28" s="341" t="s">
        <v>29</v>
      </c>
      <c r="AR28" s="234">
        <f t="shared" si="12"/>
        <v>34031250</v>
      </c>
      <c r="AS28" s="234">
        <f t="shared" si="13"/>
        <v>1.4178741042165027E-2</v>
      </c>
      <c r="AT28" s="234">
        <f t="shared" si="14"/>
        <v>1.9989583333333334</v>
      </c>
      <c r="AU28" s="234">
        <v>1</v>
      </c>
      <c r="AV28" s="234">
        <f t="shared" si="15"/>
        <v>964537.93688955379</v>
      </c>
      <c r="AW28" s="671"/>
      <c r="AX28" s="671"/>
      <c r="AY28" s="624"/>
    </row>
    <row r="29" spans="1:51" ht="20.25" thickTop="1" thickBot="1" x14ac:dyDescent="0.35">
      <c r="B29" s="106" t="s">
        <v>200</v>
      </c>
      <c r="C29" s="60">
        <f>'Input sheet'!D27</f>
        <v>45</v>
      </c>
      <c r="K29" s="346" t="s">
        <v>30</v>
      </c>
      <c r="L29" s="347" t="s">
        <v>167</v>
      </c>
      <c r="M29" s="348">
        <f>C17*C13</f>
        <v>67031250</v>
      </c>
      <c r="N29" s="671"/>
      <c r="P29" s="349" t="s">
        <v>30</v>
      </c>
      <c r="Q29" s="45">
        <f>$C$29</f>
        <v>45</v>
      </c>
      <c r="R29" s="45">
        <f>$C$32</f>
        <v>15</v>
      </c>
      <c r="S29" s="45">
        <v>230</v>
      </c>
      <c r="T29" s="45">
        <f t="shared" si="0"/>
        <v>27.918467333813421</v>
      </c>
      <c r="U29" s="45">
        <f t="shared" si="1"/>
        <v>3.5644830871376348E-2</v>
      </c>
      <c r="V29" s="45">
        <f t="shared" si="2"/>
        <v>7.0019107774903666E-2</v>
      </c>
      <c r="W29" s="671"/>
      <c r="Y29" s="346" t="s">
        <v>30</v>
      </c>
      <c r="Z29" s="336" t="s">
        <v>235</v>
      </c>
      <c r="AA29" s="232" t="s">
        <v>247</v>
      </c>
      <c r="AB29" s="232">
        <f t="shared" si="3"/>
        <v>0.01</v>
      </c>
      <c r="AC29" s="232">
        <v>0.5</v>
      </c>
      <c r="AD29" s="232">
        <f t="shared" si="4"/>
        <v>0.505</v>
      </c>
      <c r="AE29" s="232" t="s">
        <v>39</v>
      </c>
      <c r="AF29" s="232">
        <f t="shared" si="5"/>
        <v>3</v>
      </c>
      <c r="AG29" s="232">
        <v>1</v>
      </c>
      <c r="AH29" s="232" t="s">
        <v>9</v>
      </c>
      <c r="AI29" s="232">
        <f t="shared" si="6"/>
        <v>2</v>
      </c>
      <c r="AJ29" s="232">
        <f t="shared" si="7"/>
        <v>1.75</v>
      </c>
      <c r="AK29" s="232">
        <f t="shared" si="8"/>
        <v>4.75</v>
      </c>
      <c r="AL29" s="232">
        <f t="shared" si="9"/>
        <v>45</v>
      </c>
      <c r="AM29" s="232">
        <f t="shared" si="10"/>
        <v>0.83333333333333326</v>
      </c>
      <c r="AN29" s="233">
        <f t="shared" si="11"/>
        <v>1.9989583333333334</v>
      </c>
      <c r="AO29" s="673"/>
      <c r="AQ29" s="349" t="s">
        <v>30</v>
      </c>
      <c r="AR29" s="350">
        <f t="shared" si="12"/>
        <v>67031250</v>
      </c>
      <c r="AS29" s="350">
        <f t="shared" si="13"/>
        <v>7.0019107774903666E-2</v>
      </c>
      <c r="AT29" s="350">
        <f t="shared" si="14"/>
        <v>1.9989583333333334</v>
      </c>
      <c r="AU29" s="350">
        <v>1</v>
      </c>
      <c r="AV29" s="350">
        <f t="shared" si="15"/>
        <v>9382047.6065750681</v>
      </c>
      <c r="AW29" s="671"/>
      <c r="AX29" s="671"/>
      <c r="AY29" s="624"/>
    </row>
    <row r="30" spans="1:51" ht="20.25" customHeight="1" x14ac:dyDescent="0.3">
      <c r="B30" s="107" t="s">
        <v>201</v>
      </c>
      <c r="C30" s="61">
        <f>'Input sheet'!D28</f>
        <v>20</v>
      </c>
      <c r="E30" s="708" t="s">
        <v>94</v>
      </c>
      <c r="F30" s="709"/>
      <c r="G30" s="709"/>
      <c r="H30" s="709"/>
      <c r="I30" s="710"/>
      <c r="K30" s="342" t="s">
        <v>31</v>
      </c>
      <c r="L30" s="109" t="s">
        <v>130</v>
      </c>
      <c r="M30" s="228">
        <f>C16*C8</f>
        <v>67031250</v>
      </c>
      <c r="N30" s="671"/>
      <c r="P30" s="341" t="s">
        <v>31</v>
      </c>
      <c r="Q30" s="45">
        <f>$C$30</f>
        <v>20</v>
      </c>
      <c r="R30" s="45">
        <f>$C$32</f>
        <v>15</v>
      </c>
      <c r="S30" s="45">
        <v>230</v>
      </c>
      <c r="T30" s="45">
        <f t="shared" si="0"/>
        <v>15.895538413434787</v>
      </c>
      <c r="U30" s="45">
        <f t="shared" si="1"/>
        <v>4.2160006424573982E-3</v>
      </c>
      <c r="V30" s="45">
        <f t="shared" si="2"/>
        <v>8.4142266234975959E-3</v>
      </c>
      <c r="W30" s="671"/>
      <c r="Y30" s="342" t="s">
        <v>31</v>
      </c>
      <c r="Z30" s="336" t="s">
        <v>235</v>
      </c>
      <c r="AA30" s="232" t="s">
        <v>247</v>
      </c>
      <c r="AB30" s="232">
        <f t="shared" si="3"/>
        <v>0.01</v>
      </c>
      <c r="AC30" s="232">
        <v>0.5</v>
      </c>
      <c r="AD30" s="232">
        <f t="shared" si="4"/>
        <v>0.505</v>
      </c>
      <c r="AE30" s="232" t="s">
        <v>234</v>
      </c>
      <c r="AF30" s="232">
        <f t="shared" si="5"/>
        <v>4</v>
      </c>
      <c r="AG30" s="232">
        <v>0</v>
      </c>
      <c r="AH30" s="232" t="s">
        <v>18</v>
      </c>
      <c r="AI30" s="232">
        <f t="shared" si="6"/>
        <v>1</v>
      </c>
      <c r="AJ30" s="232">
        <f t="shared" si="7"/>
        <v>0</v>
      </c>
      <c r="AK30" s="232">
        <f t="shared" si="8"/>
        <v>4</v>
      </c>
      <c r="AL30" s="232">
        <f t="shared" si="9"/>
        <v>45</v>
      </c>
      <c r="AM30" s="232">
        <f t="shared" si="10"/>
        <v>0.83333333333333326</v>
      </c>
      <c r="AN30" s="233">
        <f t="shared" si="11"/>
        <v>1.6833333333333331</v>
      </c>
      <c r="AO30" s="673"/>
      <c r="AQ30" s="341" t="s">
        <v>31</v>
      </c>
      <c r="AR30" s="234">
        <f t="shared" si="12"/>
        <v>67031250</v>
      </c>
      <c r="AS30" s="234">
        <f t="shared" si="13"/>
        <v>8.4142266234975959E-3</v>
      </c>
      <c r="AT30" s="234">
        <f t="shared" si="14"/>
        <v>1.6833333333333331</v>
      </c>
      <c r="AU30" s="234">
        <v>1</v>
      </c>
      <c r="AV30" s="234">
        <f t="shared" si="15"/>
        <v>949427.1493998107</v>
      </c>
      <c r="AW30" s="671"/>
      <c r="AX30" s="671"/>
      <c r="AY30" s="624"/>
    </row>
    <row r="31" spans="1:51" ht="20.25" customHeight="1" x14ac:dyDescent="0.3">
      <c r="B31" s="107" t="s">
        <v>202</v>
      </c>
      <c r="C31" s="61">
        <f>'Input sheet'!D29</f>
        <v>15</v>
      </c>
      <c r="E31" s="711"/>
      <c r="F31" s="712"/>
      <c r="G31" s="712"/>
      <c r="H31" s="712"/>
      <c r="I31" s="713"/>
      <c r="K31" s="342" t="s">
        <v>32</v>
      </c>
      <c r="L31" s="109" t="s">
        <v>133</v>
      </c>
      <c r="M31" s="228">
        <f>C17*C8</f>
        <v>33515625</v>
      </c>
      <c r="N31" s="671"/>
      <c r="P31" s="341" t="s">
        <v>32</v>
      </c>
      <c r="Q31" s="45">
        <f>$C$30</f>
        <v>20</v>
      </c>
      <c r="R31" s="45">
        <f>$C$32</f>
        <v>15</v>
      </c>
      <c r="S31" s="45">
        <v>230</v>
      </c>
      <c r="T31" s="45">
        <f t="shared" si="0"/>
        <v>15.895538413434787</v>
      </c>
      <c r="U31" s="45">
        <f t="shared" si="1"/>
        <v>4.2160006424573982E-3</v>
      </c>
      <c r="V31" s="45">
        <f t="shared" si="2"/>
        <v>8.4142266234975959E-3</v>
      </c>
      <c r="W31" s="671"/>
      <c r="Y31" s="342" t="s">
        <v>32</v>
      </c>
      <c r="Z31" s="336" t="s">
        <v>235</v>
      </c>
      <c r="AA31" s="232" t="s">
        <v>247</v>
      </c>
      <c r="AB31" s="232">
        <f t="shared" si="3"/>
        <v>0.01</v>
      </c>
      <c r="AC31" s="232">
        <v>0.5</v>
      </c>
      <c r="AD31" s="232">
        <f t="shared" si="4"/>
        <v>0.505</v>
      </c>
      <c r="AE31" s="232" t="s">
        <v>40</v>
      </c>
      <c r="AF31" s="232">
        <f t="shared" si="5"/>
        <v>3</v>
      </c>
      <c r="AG31" s="232">
        <v>0</v>
      </c>
      <c r="AH31" s="232" t="s">
        <v>9</v>
      </c>
      <c r="AI31" s="232">
        <f t="shared" si="6"/>
        <v>2</v>
      </c>
      <c r="AJ31" s="232">
        <f t="shared" si="7"/>
        <v>0</v>
      </c>
      <c r="AK31" s="232">
        <f t="shared" si="8"/>
        <v>3</v>
      </c>
      <c r="AL31" s="232">
        <f t="shared" si="9"/>
        <v>45</v>
      </c>
      <c r="AM31" s="232">
        <f t="shared" si="10"/>
        <v>0.83333333333333326</v>
      </c>
      <c r="AN31" s="233">
        <f t="shared" si="11"/>
        <v>1.2625</v>
      </c>
      <c r="AO31" s="673"/>
      <c r="AQ31" s="341" t="s">
        <v>32</v>
      </c>
      <c r="AR31" s="234">
        <f t="shared" si="12"/>
        <v>33515625</v>
      </c>
      <c r="AS31" s="234">
        <f t="shared" si="13"/>
        <v>8.4142266234975959E-3</v>
      </c>
      <c r="AT31" s="234">
        <f t="shared" si="14"/>
        <v>1.2625</v>
      </c>
      <c r="AU31" s="234">
        <v>1</v>
      </c>
      <c r="AV31" s="234">
        <f t="shared" si="15"/>
        <v>356035.18102492904</v>
      </c>
      <c r="AW31" s="671"/>
      <c r="AX31" s="671"/>
      <c r="AY31" s="624"/>
    </row>
    <row r="32" spans="1:51" ht="18.75" x14ac:dyDescent="0.3">
      <c r="B32" s="109" t="s">
        <v>203</v>
      </c>
      <c r="C32" s="108">
        <f>'Input sheet'!D30</f>
        <v>15</v>
      </c>
      <c r="E32" s="711"/>
      <c r="F32" s="712"/>
      <c r="G32" s="712"/>
      <c r="H32" s="712"/>
      <c r="I32" s="713"/>
      <c r="K32" s="342" t="s">
        <v>33</v>
      </c>
      <c r="L32" s="109" t="s">
        <v>126</v>
      </c>
      <c r="M32" s="228">
        <f>C10*C14</f>
        <v>67031250</v>
      </c>
      <c r="N32" s="671"/>
      <c r="P32" s="341" t="s">
        <v>33</v>
      </c>
      <c r="Q32" s="45">
        <f>$C$30</f>
        <v>20</v>
      </c>
      <c r="R32" s="45">
        <f>$C$32</f>
        <v>15</v>
      </c>
      <c r="S32" s="45">
        <v>230</v>
      </c>
      <c r="T32" s="45">
        <f t="shared" si="0"/>
        <v>15.895538413434787</v>
      </c>
      <c r="U32" s="45">
        <f t="shared" si="1"/>
        <v>4.2160006424573982E-3</v>
      </c>
      <c r="V32" s="45">
        <f t="shared" si="2"/>
        <v>8.4142266234975959E-3</v>
      </c>
      <c r="W32" s="671"/>
      <c r="Y32" s="342" t="s">
        <v>33</v>
      </c>
      <c r="Z32" s="336" t="s">
        <v>235</v>
      </c>
      <c r="AA32" s="232" t="s">
        <v>247</v>
      </c>
      <c r="AB32" s="232">
        <f t="shared" si="3"/>
        <v>0.01</v>
      </c>
      <c r="AC32" s="232">
        <v>0.5</v>
      </c>
      <c r="AD32" s="232">
        <f t="shared" si="4"/>
        <v>0.505</v>
      </c>
      <c r="AE32" s="232" t="s">
        <v>233</v>
      </c>
      <c r="AF32" s="232">
        <f t="shared" si="5"/>
        <v>4</v>
      </c>
      <c r="AG32" s="232">
        <v>0</v>
      </c>
      <c r="AH32" s="232" t="s">
        <v>15</v>
      </c>
      <c r="AI32" s="232">
        <f t="shared" si="6"/>
        <v>1</v>
      </c>
      <c r="AJ32" s="232">
        <f t="shared" si="7"/>
        <v>0</v>
      </c>
      <c r="AK32" s="232">
        <f t="shared" si="8"/>
        <v>4</v>
      </c>
      <c r="AL32" s="232">
        <f t="shared" si="9"/>
        <v>45</v>
      </c>
      <c r="AM32" s="232">
        <f t="shared" si="10"/>
        <v>0.83333333333333326</v>
      </c>
      <c r="AN32" s="233">
        <f t="shared" si="11"/>
        <v>1.6833333333333331</v>
      </c>
      <c r="AO32" s="673"/>
      <c r="AQ32" s="341" t="s">
        <v>33</v>
      </c>
      <c r="AR32" s="234">
        <f t="shared" si="12"/>
        <v>67031250</v>
      </c>
      <c r="AS32" s="234">
        <f t="shared" si="13"/>
        <v>8.4142266234975959E-3</v>
      </c>
      <c r="AT32" s="234">
        <f t="shared" si="14"/>
        <v>1.6833333333333331</v>
      </c>
      <c r="AU32" s="234">
        <v>1</v>
      </c>
      <c r="AV32" s="234">
        <f t="shared" si="15"/>
        <v>949427.1493998107</v>
      </c>
      <c r="AW32" s="671"/>
      <c r="AX32" s="671"/>
      <c r="AY32" s="624"/>
    </row>
    <row r="33" spans="1:51" ht="19.5" thickBot="1" x14ac:dyDescent="0.35">
      <c r="B33" s="105" t="s">
        <v>204</v>
      </c>
      <c r="C33" s="94">
        <f>'Input sheet'!D31</f>
        <v>25</v>
      </c>
      <c r="E33" s="714"/>
      <c r="F33" s="715"/>
      <c r="G33" s="715"/>
      <c r="H33" s="715"/>
      <c r="I33" s="716"/>
      <c r="K33" s="342" t="s">
        <v>34</v>
      </c>
      <c r="L33" s="109" t="s">
        <v>135</v>
      </c>
      <c r="M33" s="228">
        <f>C11*C14</f>
        <v>33515625</v>
      </c>
      <c r="N33" s="671"/>
      <c r="P33" s="341" t="s">
        <v>34</v>
      </c>
      <c r="Q33" s="45">
        <f>$C$30</f>
        <v>20</v>
      </c>
      <c r="R33" s="45">
        <f>$C$32</f>
        <v>15</v>
      </c>
      <c r="S33" s="45">
        <v>230</v>
      </c>
      <c r="T33" s="45">
        <f t="shared" si="0"/>
        <v>15.895538413434787</v>
      </c>
      <c r="U33" s="45">
        <f t="shared" si="1"/>
        <v>4.2160006424573982E-3</v>
      </c>
      <c r="V33" s="45">
        <f t="shared" si="2"/>
        <v>8.4142266234975959E-3</v>
      </c>
      <c r="W33" s="671"/>
      <c r="Y33" s="342" t="s">
        <v>34</v>
      </c>
      <c r="Z33" s="336" t="s">
        <v>235</v>
      </c>
      <c r="AA33" s="232" t="s">
        <v>247</v>
      </c>
      <c r="AB33" s="232">
        <f t="shared" si="3"/>
        <v>0.01</v>
      </c>
      <c r="AC33" s="232">
        <v>0.5</v>
      </c>
      <c r="AD33" s="232">
        <f t="shared" si="4"/>
        <v>0.505</v>
      </c>
      <c r="AE33" s="232" t="s">
        <v>41</v>
      </c>
      <c r="AF33" s="232">
        <f t="shared" si="5"/>
        <v>3</v>
      </c>
      <c r="AG33" s="232">
        <v>0</v>
      </c>
      <c r="AH33" s="232" t="s">
        <v>12</v>
      </c>
      <c r="AI33" s="232">
        <f t="shared" si="6"/>
        <v>2</v>
      </c>
      <c r="AJ33" s="232">
        <f t="shared" si="7"/>
        <v>0</v>
      </c>
      <c r="AK33" s="232">
        <f t="shared" si="8"/>
        <v>3</v>
      </c>
      <c r="AL33" s="232">
        <f t="shared" si="9"/>
        <v>45</v>
      </c>
      <c r="AM33" s="232">
        <f t="shared" si="10"/>
        <v>0.83333333333333326</v>
      </c>
      <c r="AN33" s="233">
        <f t="shared" si="11"/>
        <v>1.2625</v>
      </c>
      <c r="AO33" s="673"/>
      <c r="AQ33" s="341" t="s">
        <v>34</v>
      </c>
      <c r="AR33" s="234">
        <f t="shared" si="12"/>
        <v>33515625</v>
      </c>
      <c r="AS33" s="234">
        <f t="shared" si="13"/>
        <v>8.4142266234975959E-3</v>
      </c>
      <c r="AT33" s="234">
        <f t="shared" si="14"/>
        <v>1.2625</v>
      </c>
      <c r="AU33" s="234">
        <v>1</v>
      </c>
      <c r="AV33" s="234">
        <f t="shared" si="15"/>
        <v>356035.18102492904</v>
      </c>
      <c r="AW33" s="671"/>
      <c r="AX33" s="671"/>
      <c r="AY33" s="624"/>
    </row>
    <row r="34" spans="1:51" ht="19.5" customHeight="1" thickTop="1" x14ac:dyDescent="0.3">
      <c r="K34" s="342" t="s">
        <v>35</v>
      </c>
      <c r="L34" s="109" t="s">
        <v>141</v>
      </c>
      <c r="M34" s="228">
        <f>C8*(C13+C11)</f>
        <v>165546875</v>
      </c>
      <c r="N34" s="671"/>
      <c r="P34" s="341" t="s">
        <v>35</v>
      </c>
      <c r="Q34" s="45">
        <f>$C$29</f>
        <v>45</v>
      </c>
      <c r="R34" s="45">
        <f>$C$30</f>
        <v>20</v>
      </c>
      <c r="S34" s="45">
        <v>230</v>
      </c>
      <c r="T34" s="45">
        <f t="shared" si="0"/>
        <v>29.924979939156898</v>
      </c>
      <c r="U34" s="45">
        <f t="shared" si="1"/>
        <v>4.6369867746318419E-2</v>
      </c>
      <c r="V34" s="45">
        <f t="shared" si="2"/>
        <v>9.0589570857825777E-2</v>
      </c>
      <c r="W34" s="671"/>
      <c r="Y34" s="342" t="s">
        <v>35</v>
      </c>
      <c r="Z34" s="336" t="s">
        <v>235</v>
      </c>
      <c r="AA34" s="232" t="s">
        <v>247</v>
      </c>
      <c r="AB34" s="232">
        <f t="shared" si="3"/>
        <v>0.01</v>
      </c>
      <c r="AC34" s="232">
        <v>0.5</v>
      </c>
      <c r="AD34" s="232">
        <f t="shared" si="4"/>
        <v>0.505</v>
      </c>
      <c r="AE34" s="232" t="s">
        <v>45</v>
      </c>
      <c r="AF34" s="232">
        <f t="shared" si="5"/>
        <v>3</v>
      </c>
      <c r="AG34" s="232">
        <v>1</v>
      </c>
      <c r="AH34" s="232" t="s">
        <v>15</v>
      </c>
      <c r="AI34" s="232">
        <f t="shared" si="6"/>
        <v>1</v>
      </c>
      <c r="AJ34" s="232">
        <f t="shared" si="7"/>
        <v>1</v>
      </c>
      <c r="AK34" s="232">
        <f t="shared" si="8"/>
        <v>4</v>
      </c>
      <c r="AL34" s="232">
        <f t="shared" si="9"/>
        <v>45</v>
      </c>
      <c r="AM34" s="232">
        <f t="shared" si="10"/>
        <v>0.83333333333333326</v>
      </c>
      <c r="AN34" s="233">
        <f t="shared" si="11"/>
        <v>1.6833333333333331</v>
      </c>
      <c r="AO34" s="673"/>
      <c r="AQ34" s="341" t="s">
        <v>35</v>
      </c>
      <c r="AR34" s="234">
        <f t="shared" si="12"/>
        <v>165546875</v>
      </c>
      <c r="AS34" s="234">
        <f t="shared" si="13"/>
        <v>9.0589570857825777E-2</v>
      </c>
      <c r="AT34" s="234">
        <f t="shared" si="14"/>
        <v>1.6833333333333331</v>
      </c>
      <c r="AU34" s="234">
        <v>1</v>
      </c>
      <c r="AV34" s="234">
        <f t="shared" si="15"/>
        <v>25244647.611225277</v>
      </c>
      <c r="AW34" s="671"/>
      <c r="AX34" s="671"/>
      <c r="AY34" s="624"/>
    </row>
    <row r="35" spans="1:51" ht="19.5" thickBot="1" x14ac:dyDescent="0.35">
      <c r="K35" s="344" t="s">
        <v>36</v>
      </c>
      <c r="L35" s="105" t="s">
        <v>142</v>
      </c>
      <c r="M35" s="245">
        <f>C14*(C7+C17)</f>
        <v>165546875</v>
      </c>
      <c r="N35" s="461"/>
      <c r="P35" s="343" t="s">
        <v>36</v>
      </c>
      <c r="Q35" s="46">
        <f>$C$29</f>
        <v>45</v>
      </c>
      <c r="R35" s="46">
        <f>$C$30</f>
        <v>20</v>
      </c>
      <c r="S35" s="46">
        <v>230</v>
      </c>
      <c r="T35" s="46">
        <f t="shared" si="0"/>
        <v>29.924979939156898</v>
      </c>
      <c r="U35" s="46">
        <f t="shared" si="1"/>
        <v>4.6369867746318419E-2</v>
      </c>
      <c r="V35" s="46">
        <f t="shared" si="2"/>
        <v>9.0589570857825777E-2</v>
      </c>
      <c r="W35" s="461"/>
      <c r="Y35" s="344" t="s">
        <v>36</v>
      </c>
      <c r="Z35" s="336" t="s">
        <v>235</v>
      </c>
      <c r="AA35" s="249" t="s">
        <v>247</v>
      </c>
      <c r="AB35" s="249">
        <f t="shared" si="3"/>
        <v>0.01</v>
      </c>
      <c r="AC35" s="249">
        <v>0.5</v>
      </c>
      <c r="AD35" s="249">
        <f t="shared" si="4"/>
        <v>0.505</v>
      </c>
      <c r="AE35" s="249" t="s">
        <v>236</v>
      </c>
      <c r="AF35" s="249">
        <f t="shared" si="5"/>
        <v>3</v>
      </c>
      <c r="AG35" s="249">
        <v>1</v>
      </c>
      <c r="AH35" s="249" t="s">
        <v>18</v>
      </c>
      <c r="AI35" s="249">
        <f t="shared" si="6"/>
        <v>1</v>
      </c>
      <c r="AJ35" s="249">
        <f t="shared" si="7"/>
        <v>1</v>
      </c>
      <c r="AK35" s="249">
        <f t="shared" si="8"/>
        <v>4</v>
      </c>
      <c r="AL35" s="249">
        <f t="shared" si="9"/>
        <v>45</v>
      </c>
      <c r="AM35" s="249">
        <f t="shared" si="10"/>
        <v>0.83333333333333326</v>
      </c>
      <c r="AN35" s="250">
        <f t="shared" si="11"/>
        <v>1.6833333333333331</v>
      </c>
      <c r="AO35" s="674"/>
      <c r="AQ35" s="343" t="s">
        <v>36</v>
      </c>
      <c r="AR35" s="251">
        <f t="shared" si="12"/>
        <v>165546875</v>
      </c>
      <c r="AS35" s="251">
        <f t="shared" si="13"/>
        <v>9.0589570857825777E-2</v>
      </c>
      <c r="AT35" s="251">
        <f t="shared" si="14"/>
        <v>1.6833333333333331</v>
      </c>
      <c r="AU35" s="251">
        <v>1</v>
      </c>
      <c r="AV35" s="251">
        <f t="shared" si="15"/>
        <v>25244647.611225277</v>
      </c>
      <c r="AW35" s="461"/>
      <c r="AX35" s="461"/>
      <c r="AY35" s="625"/>
    </row>
    <row r="36" spans="1:51" ht="15.75" customHeight="1" thickTop="1" x14ac:dyDescent="0.25">
      <c r="D36" s="32"/>
      <c r="K36" s="32"/>
    </row>
    <row r="37" spans="1:51" ht="15.75" customHeight="1" x14ac:dyDescent="0.25"/>
    <row r="38" spans="1:51" ht="15.75" thickBot="1" x14ac:dyDescent="0.3">
      <c r="D38" s="98"/>
      <c r="E38" s="98"/>
      <c r="P38" s="98"/>
    </row>
    <row r="39" spans="1:51" ht="18.75" x14ac:dyDescent="0.3">
      <c r="A39" s="34" t="s">
        <v>52</v>
      </c>
      <c r="B39" s="34"/>
      <c r="C39" s="34"/>
      <c r="D39" s="34"/>
      <c r="E39" s="34"/>
      <c r="F39" s="34"/>
      <c r="G39" s="34"/>
      <c r="H39" s="34"/>
      <c r="I39" s="35"/>
      <c r="J39" s="35"/>
      <c r="K39" s="36"/>
      <c r="L39" s="37"/>
      <c r="M39" s="37"/>
      <c r="N39" s="35"/>
      <c r="O39" s="35"/>
      <c r="P39" s="38"/>
      <c r="Q39" s="39"/>
      <c r="T39" s="33"/>
    </row>
    <row r="40" spans="1:51" ht="15.75" thickBot="1" x14ac:dyDescent="0.3">
      <c r="B40" s="17" t="s">
        <v>69</v>
      </c>
      <c r="K40" s="16"/>
      <c r="P40" s="40"/>
      <c r="Q40" s="39"/>
    </row>
    <row r="41" spans="1:51" ht="16.5" thickTop="1" thickBot="1" x14ac:dyDescent="0.3">
      <c r="A41" s="329" t="s">
        <v>3</v>
      </c>
      <c r="B41" s="19" t="s">
        <v>5</v>
      </c>
      <c r="C41" s="20" t="s">
        <v>38</v>
      </c>
      <c r="D41" s="21" t="s">
        <v>53</v>
      </c>
      <c r="E41" s="22" t="s">
        <v>48</v>
      </c>
      <c r="F41" s="18" t="s">
        <v>2</v>
      </c>
      <c r="K41" s="16"/>
      <c r="P41" s="40"/>
      <c r="Q41" s="39"/>
    </row>
    <row r="42" spans="1:51" ht="16.5" thickTop="1" thickBot="1" x14ac:dyDescent="0.3">
      <c r="A42" s="326">
        <f>A48</f>
        <v>2</v>
      </c>
      <c r="B42" s="24" t="str">
        <f>B48</f>
        <v>Partial CFI</v>
      </c>
      <c r="C42" s="25">
        <v>8</v>
      </c>
      <c r="D42" s="26">
        <v>8</v>
      </c>
      <c r="E42" s="27">
        <v>14</v>
      </c>
      <c r="F42" s="28">
        <f>SUM(C42:E42)</f>
        <v>30</v>
      </c>
      <c r="K42" s="16"/>
      <c r="P42" s="40"/>
      <c r="Q42" s="39"/>
    </row>
    <row r="43" spans="1:51" ht="15.75" thickTop="1" x14ac:dyDescent="0.25">
      <c r="A43" s="327"/>
      <c r="B43" s="308"/>
      <c r="C43" s="325"/>
      <c r="D43" s="325"/>
      <c r="E43" s="325"/>
      <c r="F43" s="325"/>
      <c r="K43" s="16"/>
      <c r="P43" s="40"/>
      <c r="Q43" s="39"/>
    </row>
    <row r="44" spans="1:51" x14ac:dyDescent="0.25">
      <c r="K44" s="16"/>
      <c r="P44" s="40"/>
      <c r="Q44" s="39"/>
    </row>
    <row r="45" spans="1:51" ht="15.75" thickBot="1" x14ac:dyDescent="0.3">
      <c r="B45" s="306" t="s">
        <v>316</v>
      </c>
      <c r="C45" s="306"/>
      <c r="D45" s="306"/>
      <c r="E45" s="306"/>
      <c r="F45" s="306"/>
      <c r="G45" s="306"/>
      <c r="P45" s="40"/>
      <c r="Q45" s="39"/>
    </row>
    <row r="46" spans="1:51" ht="16.5" thickTop="1" thickBot="1" x14ac:dyDescent="0.3">
      <c r="A46" s="697" t="s">
        <v>260</v>
      </c>
      <c r="B46" s="477" t="s">
        <v>186</v>
      </c>
      <c r="C46" s="479" t="s">
        <v>297</v>
      </c>
      <c r="D46" s="481" t="s">
        <v>298</v>
      </c>
      <c r="E46" s="481"/>
      <c r="F46" s="481"/>
      <c r="G46" s="481"/>
      <c r="P46" s="40"/>
      <c r="Q46" s="39"/>
    </row>
    <row r="47" spans="1:51" ht="16.5" thickTop="1" thickBot="1" x14ac:dyDescent="0.3">
      <c r="A47" s="698"/>
      <c r="B47" s="478"/>
      <c r="C47" s="480"/>
      <c r="D47" s="277" t="s">
        <v>313</v>
      </c>
      <c r="E47" s="277" t="s">
        <v>46</v>
      </c>
      <c r="F47" s="277" t="s">
        <v>53</v>
      </c>
      <c r="G47" s="277" t="s">
        <v>1</v>
      </c>
      <c r="P47" s="40"/>
      <c r="Q47" s="39"/>
    </row>
    <row r="48" spans="1:51" ht="16.5" thickTop="1" thickBot="1" x14ac:dyDescent="0.3">
      <c r="A48" s="328">
        <f t="shared" ref="A48:G48" si="17">AI92</f>
        <v>2</v>
      </c>
      <c r="B48" s="31" t="str">
        <f t="shared" si="17"/>
        <v>Partial CFI</v>
      </c>
      <c r="C48" s="309">
        <f t="shared" si="17"/>
        <v>4.7836159264284985</v>
      </c>
      <c r="D48" s="309" t="str">
        <f t="shared" si="17"/>
        <v xml:space="preserve">na </v>
      </c>
      <c r="E48" s="309">
        <f t="shared" si="17"/>
        <v>78.489196379118084</v>
      </c>
      <c r="F48" s="309">
        <f t="shared" si="17"/>
        <v>73.38338340326942</v>
      </c>
      <c r="G48" s="309">
        <f t="shared" si="17"/>
        <v>1.900471212569874E-2</v>
      </c>
      <c r="P48" s="40"/>
    </row>
    <row r="49" spans="1:16" ht="15.75" thickTop="1" x14ac:dyDescent="0.25">
      <c r="P49" s="40"/>
    </row>
    <row r="50" spans="1:16" x14ac:dyDescent="0.25">
      <c r="P50" s="40"/>
    </row>
    <row r="51" spans="1:16" ht="15.75" thickBot="1" x14ac:dyDescent="0.3">
      <c r="B51" s="306" t="s">
        <v>317</v>
      </c>
      <c r="C51" s="306"/>
      <c r="D51" s="306"/>
      <c r="E51" s="306"/>
      <c r="F51" s="306"/>
      <c r="G51" s="306"/>
      <c r="H51" s="306"/>
      <c r="I51" s="306"/>
      <c r="J51" s="306"/>
      <c r="K51" s="306"/>
      <c r="L51" s="306"/>
      <c r="M51" s="306"/>
      <c r="N51" s="306"/>
      <c r="P51" s="40"/>
    </row>
    <row r="52" spans="1:16" ht="16.5" thickTop="1" thickBot="1" x14ac:dyDescent="0.3">
      <c r="A52" s="697" t="s">
        <v>260</v>
      </c>
      <c r="B52" s="477" t="s">
        <v>186</v>
      </c>
      <c r="C52" s="482" t="s">
        <v>314</v>
      </c>
      <c r="D52" s="482"/>
      <c r="E52" s="482"/>
      <c r="F52" s="482"/>
      <c r="G52" s="481" t="s">
        <v>315</v>
      </c>
      <c r="H52" s="481"/>
      <c r="I52" s="481"/>
      <c r="J52" s="481"/>
      <c r="K52" s="479" t="s">
        <v>301</v>
      </c>
      <c r="L52" s="479"/>
      <c r="M52" s="479"/>
      <c r="N52" s="479"/>
      <c r="P52" s="40"/>
    </row>
    <row r="53" spans="1:16" ht="25.5" customHeight="1" thickTop="1" thickBot="1" x14ac:dyDescent="0.3">
      <c r="A53" s="698"/>
      <c r="B53" s="478"/>
      <c r="C53" s="305" t="s">
        <v>303</v>
      </c>
      <c r="D53" s="305" t="s">
        <v>185</v>
      </c>
      <c r="E53" s="305" t="s">
        <v>184</v>
      </c>
      <c r="F53" s="305" t="s">
        <v>304</v>
      </c>
      <c r="G53" s="305" t="s">
        <v>303</v>
      </c>
      <c r="H53" s="305" t="s">
        <v>185</v>
      </c>
      <c r="I53" s="305" t="s">
        <v>184</v>
      </c>
      <c r="J53" s="305" t="s">
        <v>304</v>
      </c>
      <c r="K53" s="305" t="s">
        <v>303</v>
      </c>
      <c r="L53" s="305" t="s">
        <v>185</v>
      </c>
      <c r="M53" s="305" t="s">
        <v>184</v>
      </c>
      <c r="N53" s="305" t="s">
        <v>304</v>
      </c>
      <c r="P53" s="40"/>
    </row>
    <row r="54" spans="1:16" ht="16.5" thickTop="1" thickBot="1" x14ac:dyDescent="0.3">
      <c r="A54" s="328">
        <f t="shared" ref="A54:N54" si="18">AQ92</f>
        <v>2</v>
      </c>
      <c r="B54" s="31" t="str">
        <f t="shared" si="18"/>
        <v>Partial CFI</v>
      </c>
      <c r="C54" s="303" t="str">
        <f t="shared" si="18"/>
        <v>na</v>
      </c>
      <c r="D54" s="324">
        <f t="shared" si="18"/>
        <v>1</v>
      </c>
      <c r="E54" s="324">
        <f t="shared" si="18"/>
        <v>1</v>
      </c>
      <c r="F54" s="324">
        <f t="shared" si="18"/>
        <v>1</v>
      </c>
      <c r="G54" s="303" t="str">
        <f t="shared" si="18"/>
        <v>na</v>
      </c>
      <c r="H54" s="324">
        <f t="shared" si="18"/>
        <v>2.683738769075432E-3</v>
      </c>
      <c r="I54" s="324">
        <f t="shared" si="18"/>
        <v>5.0690106147069352E-3</v>
      </c>
      <c r="J54" s="324">
        <f t="shared" si="18"/>
        <v>4.1171059676162761E-2</v>
      </c>
      <c r="K54" s="303" t="str">
        <f t="shared" si="18"/>
        <v>na</v>
      </c>
      <c r="L54" s="324">
        <f t="shared" si="18"/>
        <v>1</v>
      </c>
      <c r="M54" s="324">
        <f t="shared" si="18"/>
        <v>1.5255208333333332</v>
      </c>
      <c r="N54" s="324">
        <f t="shared" si="18"/>
        <v>1.7133928571428572</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82" t="s">
        <v>296</v>
      </c>
      <c r="AJ90" s="682" t="s">
        <v>186</v>
      </c>
      <c r="AK90" s="683" t="s">
        <v>297</v>
      </c>
      <c r="AL90" s="682" t="s">
        <v>298</v>
      </c>
      <c r="AM90" s="682"/>
      <c r="AN90" s="682"/>
      <c r="AO90" s="682"/>
      <c r="AP90" s="162"/>
      <c r="AQ90" s="682" t="s">
        <v>296</v>
      </c>
      <c r="AR90" s="680" t="s">
        <v>186</v>
      </c>
      <c r="AS90" s="681" t="s">
        <v>299</v>
      </c>
      <c r="AT90" s="681"/>
      <c r="AU90" s="681"/>
      <c r="AV90" s="681"/>
      <c r="AW90" s="682" t="s">
        <v>300</v>
      </c>
      <c r="AX90" s="682"/>
      <c r="AY90" s="682"/>
      <c r="AZ90" s="682"/>
      <c r="BA90" s="683" t="s">
        <v>301</v>
      </c>
      <c r="BB90" s="683"/>
      <c r="BC90" s="683"/>
      <c r="BD90" s="683"/>
    </row>
    <row r="91" spans="1:56" ht="16.5" thickTop="1" thickBot="1" x14ac:dyDescent="0.3">
      <c r="K91" s="16"/>
      <c r="AI91" s="682"/>
      <c r="AJ91" s="682"/>
      <c r="AK91" s="683"/>
      <c r="AL91" s="163" t="s">
        <v>302</v>
      </c>
      <c r="AM91" s="163" t="s">
        <v>46</v>
      </c>
      <c r="AN91" s="163" t="s">
        <v>53</v>
      </c>
      <c r="AO91" s="163" t="s">
        <v>1</v>
      </c>
      <c r="AP91" s="162"/>
      <c r="AQ91" s="682"/>
      <c r="AR91" s="680"/>
      <c r="AS91" s="163" t="s">
        <v>303</v>
      </c>
      <c r="AT91" s="163" t="s">
        <v>185</v>
      </c>
      <c r="AU91" s="163" t="s">
        <v>184</v>
      </c>
      <c r="AV91" s="163" t="s">
        <v>304</v>
      </c>
      <c r="AW91" s="163" t="s">
        <v>303</v>
      </c>
      <c r="AX91" s="163" t="s">
        <v>185</v>
      </c>
      <c r="AY91" s="163" t="s">
        <v>184</v>
      </c>
      <c r="AZ91" s="163" t="s">
        <v>304</v>
      </c>
      <c r="BA91" s="163" t="s">
        <v>303</v>
      </c>
      <c r="BB91" s="163" t="s">
        <v>185</v>
      </c>
      <c r="BC91" s="163" t="s">
        <v>184</v>
      </c>
      <c r="BD91" s="163" t="s">
        <v>304</v>
      </c>
    </row>
    <row r="92" spans="1:56" ht="15.75" thickTop="1" x14ac:dyDescent="0.25">
      <c r="K92" s="16"/>
      <c r="AI92" s="164">
        <v>2</v>
      </c>
      <c r="AJ92" s="165" t="s">
        <v>4</v>
      </c>
      <c r="AK92" s="166">
        <f>$AY$6</f>
        <v>4.7836159264284985</v>
      </c>
      <c r="AL92" s="167" t="s">
        <v>305</v>
      </c>
      <c r="AM92" s="168">
        <f>$AX$6</f>
        <v>78.489196379118084</v>
      </c>
      <c r="AN92" s="168">
        <f>$AX$14</f>
        <v>73.38338340326942</v>
      </c>
      <c r="AO92" s="168">
        <f>$AX$22</f>
        <v>1.900471212569874E-2</v>
      </c>
      <c r="AP92" s="169"/>
      <c r="AQ92" s="164">
        <f t="shared" ref="AQ92:AR92" si="19">AI92</f>
        <v>2</v>
      </c>
      <c r="AR92" s="165" t="str">
        <f t="shared" si="19"/>
        <v>Partial CFI</v>
      </c>
      <c r="AS92" s="170" t="s">
        <v>306</v>
      </c>
      <c r="AT92" s="171">
        <f>$N$6/'1.Conventional'!$N$6</f>
        <v>1</v>
      </c>
      <c r="AU92" s="171">
        <f>$N$14/'1.Conventional'!$N$14</f>
        <v>1</v>
      </c>
      <c r="AV92" s="171">
        <f>$N$22/'1.Conventional'!$N$22</f>
        <v>1</v>
      </c>
      <c r="AW92" s="170" t="s">
        <v>306</v>
      </c>
      <c r="AX92" s="171">
        <f>$W$6</f>
        <v>2.683738769075432E-3</v>
      </c>
      <c r="AY92" s="171">
        <f>$W$14</f>
        <v>5.0690106147069352E-3</v>
      </c>
      <c r="AZ92" s="171">
        <f>$W$22</f>
        <v>4.1171059676162761E-2</v>
      </c>
      <c r="BA92" s="172" t="s">
        <v>306</v>
      </c>
      <c r="BB92" s="173">
        <f>$AO$6</f>
        <v>1</v>
      </c>
      <c r="BC92" s="173">
        <f>$AO$14</f>
        <v>1.5255208333333332</v>
      </c>
      <c r="BD92" s="173">
        <f>$AO$22</f>
        <v>1.7133928571428572</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0">
    <mergeCell ref="A4:C4"/>
    <mergeCell ref="A46:A47"/>
    <mergeCell ref="B46:B47"/>
    <mergeCell ref="Y3:Y5"/>
    <mergeCell ref="Z3:Z5"/>
    <mergeCell ref="K2:N4"/>
    <mergeCell ref="P2:W4"/>
    <mergeCell ref="Y2:AO2"/>
    <mergeCell ref="AA3:AD3"/>
    <mergeCell ref="AE3:AK3"/>
    <mergeCell ref="AL3:AM3"/>
    <mergeCell ref="AN3:AN5"/>
    <mergeCell ref="AO3:AO5"/>
    <mergeCell ref="AA4:AA5"/>
    <mergeCell ref="AB4:AB5"/>
    <mergeCell ref="AC4:AC5"/>
    <mergeCell ref="AD4:AD5"/>
    <mergeCell ref="AE4:AF4"/>
    <mergeCell ref="AG4:AJ4"/>
    <mergeCell ref="AK4:AK5"/>
    <mergeCell ref="AW14:AW21"/>
    <mergeCell ref="AX14:AX21"/>
    <mergeCell ref="AL4:AL5"/>
    <mergeCell ref="AM4:AM5"/>
    <mergeCell ref="AW6:AW13"/>
    <mergeCell ref="AX6:AX13"/>
    <mergeCell ref="AQ2:AY4"/>
    <mergeCell ref="N6:N13"/>
    <mergeCell ref="W6:W13"/>
    <mergeCell ref="AO6:AO13"/>
    <mergeCell ref="A21:C21"/>
    <mergeCell ref="A22:A23"/>
    <mergeCell ref="N22:N35"/>
    <mergeCell ref="W22:W35"/>
    <mergeCell ref="AO22:AO35"/>
    <mergeCell ref="N14:N21"/>
    <mergeCell ref="W14:W21"/>
    <mergeCell ref="AO14:AO21"/>
    <mergeCell ref="A24:A25"/>
    <mergeCell ref="A52:A53"/>
    <mergeCell ref="B28:C28"/>
    <mergeCell ref="B52:B53"/>
    <mergeCell ref="C52:F52"/>
    <mergeCell ref="G52:J52"/>
    <mergeCell ref="AS90:AV90"/>
    <mergeCell ref="AW90:AZ90"/>
    <mergeCell ref="BA90:BD90"/>
    <mergeCell ref="E30:I33"/>
    <mergeCell ref="C46:C47"/>
    <mergeCell ref="D46:G46"/>
    <mergeCell ref="AJ90:AJ91"/>
    <mergeCell ref="AK90:AK91"/>
    <mergeCell ref="AL90:AO90"/>
    <mergeCell ref="AQ90:AQ91"/>
    <mergeCell ref="AR90:AR91"/>
    <mergeCell ref="AW22:AW35"/>
    <mergeCell ref="AX22:AX35"/>
    <mergeCell ref="AY6:AY35"/>
    <mergeCell ref="AI90:AI91"/>
    <mergeCell ref="K52:N5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D101"/>
  <sheetViews>
    <sheetView zoomScale="70" zoomScaleNormal="70" workbookViewId="0">
      <selection activeCell="L12" sqref="L12"/>
    </sheetView>
  </sheetViews>
  <sheetFormatPr defaultColWidth="9.140625" defaultRowHeight="15" x14ac:dyDescent="0.25"/>
  <cols>
    <col min="1" max="1" width="15.5703125" style="9" customWidth="1"/>
    <col min="2" max="2" width="24.85546875" style="9" customWidth="1"/>
    <col min="3" max="3" width="20.5703125" style="9" customWidth="1"/>
    <col min="4" max="4" width="12.85546875" style="9" bestFit="1" customWidth="1"/>
    <col min="5" max="5" width="13.7109375" style="9" bestFit="1" customWidth="1"/>
    <col min="6" max="6" width="24" style="9" bestFit="1" customWidth="1"/>
    <col min="7" max="7" width="13.7109375" style="9" bestFit="1" customWidth="1"/>
    <col min="8" max="8" width="12.140625" style="9" bestFit="1" customWidth="1"/>
    <col min="9" max="9" width="14.7109375" style="9" bestFit="1" customWidth="1"/>
    <col min="10" max="10" width="9.42578125" style="9" bestFit="1" customWidth="1"/>
    <col min="11" max="11" width="19.140625" style="9" bestFit="1" customWidth="1"/>
    <col min="12" max="12" width="32.85546875" style="9" bestFit="1" customWidth="1"/>
    <col min="13" max="13" width="13.85546875" style="9" bestFit="1" customWidth="1"/>
    <col min="14" max="14" width="18.5703125" style="9" bestFit="1" customWidth="1"/>
    <col min="15" max="15" width="10.42578125" style="9" customWidth="1"/>
    <col min="16" max="16" width="19.140625" style="9" bestFit="1" customWidth="1"/>
    <col min="17" max="17" width="9.7109375" style="9" bestFit="1" customWidth="1"/>
    <col min="18" max="18" width="9" style="9" bestFit="1" customWidth="1"/>
    <col min="19" max="19" width="10.5703125" style="9" bestFit="1" customWidth="1"/>
    <col min="20" max="22" width="16" style="9" bestFit="1" customWidth="1"/>
    <col min="23" max="23" width="20.42578125" style="9" bestFit="1" customWidth="1"/>
    <col min="24" max="24" width="9" style="9" bestFit="1" customWidth="1"/>
    <col min="25" max="25" width="19.140625" style="9" bestFit="1" customWidth="1"/>
    <col min="26" max="26" width="25.85546875" style="9" bestFit="1" customWidth="1"/>
    <col min="27" max="27" width="24.28515625" style="9" bestFit="1" customWidth="1"/>
    <col min="28" max="28" width="11" style="9" bestFit="1" customWidth="1"/>
    <col min="29" max="29" width="16.28515625" style="9" bestFit="1" customWidth="1"/>
    <col min="30" max="30" width="14.7109375" style="9" bestFit="1" customWidth="1"/>
    <col min="31" max="31" width="12.85546875" style="9" bestFit="1" customWidth="1"/>
    <col min="32" max="32" width="9.28515625" style="9" bestFit="1" customWidth="1"/>
    <col min="33" max="33" width="15.140625" style="9" bestFit="1" customWidth="1"/>
    <col min="34" max="34" width="12.140625" style="9" bestFit="1" customWidth="1"/>
    <col min="35" max="35" width="19.5703125" style="9" bestFit="1" customWidth="1"/>
    <col min="36" max="36" width="16.5703125" style="9" bestFit="1" customWidth="1"/>
    <col min="37" max="37" width="11.7109375" style="9" bestFit="1" customWidth="1"/>
    <col min="38" max="38" width="14" style="9" bestFit="1" customWidth="1"/>
    <col min="39" max="39" width="12.5703125" style="9" bestFit="1" customWidth="1"/>
    <col min="40" max="40" width="15.42578125" style="9" bestFit="1" customWidth="1"/>
    <col min="41" max="41" width="11.85546875" style="9" bestFit="1" customWidth="1"/>
    <col min="42" max="42" width="10.140625" style="9" customWidth="1"/>
    <col min="43" max="43" width="20.42578125" style="9" bestFit="1" customWidth="1"/>
    <col min="44" max="44" width="16.5703125" style="9" bestFit="1" customWidth="1"/>
    <col min="45" max="46" width="16" style="9" bestFit="1" customWidth="1"/>
    <col min="47" max="47" width="15.42578125" style="9" bestFit="1" customWidth="1"/>
    <col min="48" max="48" width="39.140625" style="9" bestFit="1" customWidth="1"/>
    <col min="49" max="51" width="16" style="9" bestFit="1" customWidth="1"/>
    <col min="52" max="16384" width="9.140625" style="9"/>
  </cols>
  <sheetData>
    <row r="1" spans="1:51" x14ac:dyDescent="0.25">
      <c r="C1" s="17" t="s">
        <v>395</v>
      </c>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row>
    <row r="2" spans="1:51" ht="15.75" thickBot="1" x14ac:dyDescent="0.3">
      <c r="C2" s="17"/>
      <c r="K2" s="666" t="s">
        <v>168</v>
      </c>
      <c r="L2" s="666"/>
      <c r="M2" s="666"/>
      <c r="N2" s="666"/>
      <c r="P2" s="668" t="s">
        <v>213</v>
      </c>
      <c r="Q2" s="668"/>
      <c r="R2" s="668"/>
      <c r="S2" s="668"/>
      <c r="T2" s="668"/>
      <c r="U2" s="668"/>
      <c r="V2" s="668"/>
      <c r="W2" s="668"/>
      <c r="Y2" s="670" t="s">
        <v>248</v>
      </c>
      <c r="Z2" s="670"/>
      <c r="AA2" s="670"/>
      <c r="AB2" s="670"/>
      <c r="AC2" s="670"/>
      <c r="AD2" s="670"/>
      <c r="AE2" s="670"/>
      <c r="AF2" s="670"/>
      <c r="AG2" s="670"/>
      <c r="AH2" s="670"/>
      <c r="AI2" s="670"/>
      <c r="AJ2" s="670"/>
      <c r="AK2" s="670"/>
      <c r="AL2" s="670"/>
      <c r="AM2" s="670"/>
      <c r="AN2" s="670"/>
      <c r="AO2" s="670"/>
      <c r="AQ2" s="664" t="s">
        <v>244</v>
      </c>
      <c r="AR2" s="664"/>
      <c r="AS2" s="664"/>
      <c r="AT2" s="664"/>
      <c r="AU2" s="664"/>
      <c r="AV2" s="664"/>
      <c r="AW2" s="664"/>
      <c r="AX2" s="664"/>
      <c r="AY2" s="664"/>
    </row>
    <row r="3" spans="1:51" ht="16.5" customHeight="1" thickTop="1" thickBot="1" x14ac:dyDescent="0.3">
      <c r="C3" s="17"/>
      <c r="K3" s="666"/>
      <c r="L3" s="666"/>
      <c r="M3" s="666"/>
      <c r="N3" s="666"/>
      <c r="P3" s="668"/>
      <c r="Q3" s="668"/>
      <c r="R3" s="668"/>
      <c r="S3" s="668"/>
      <c r="T3" s="668"/>
      <c r="U3" s="668"/>
      <c r="V3" s="668"/>
      <c r="W3" s="668"/>
      <c r="Y3" s="574" t="s">
        <v>188</v>
      </c>
      <c r="Z3" s="574" t="s">
        <v>214</v>
      </c>
      <c r="AA3" s="693" t="s">
        <v>215</v>
      </c>
      <c r="AB3" s="693"/>
      <c r="AC3" s="693"/>
      <c r="AD3" s="693"/>
      <c r="AE3" s="609" t="s">
        <v>216</v>
      </c>
      <c r="AF3" s="610"/>
      <c r="AG3" s="610"/>
      <c r="AH3" s="610"/>
      <c r="AI3" s="610"/>
      <c r="AJ3" s="610"/>
      <c r="AK3" s="675"/>
      <c r="AL3" s="609" t="s">
        <v>217</v>
      </c>
      <c r="AM3" s="675"/>
      <c r="AN3" s="676" t="s">
        <v>239</v>
      </c>
      <c r="AO3" s="676" t="s">
        <v>219</v>
      </c>
      <c r="AQ3" s="664"/>
      <c r="AR3" s="664"/>
      <c r="AS3" s="664"/>
      <c r="AT3" s="664"/>
      <c r="AU3" s="664"/>
      <c r="AV3" s="664"/>
      <c r="AW3" s="664"/>
      <c r="AX3" s="664"/>
      <c r="AY3" s="664"/>
    </row>
    <row r="4" spans="1:51" ht="16.5" customHeight="1" thickTop="1" thickBot="1" x14ac:dyDescent="0.3">
      <c r="A4" s="694" t="s">
        <v>70</v>
      </c>
      <c r="B4" s="695"/>
      <c r="C4" s="696"/>
      <c r="K4" s="667"/>
      <c r="L4" s="667"/>
      <c r="M4" s="667"/>
      <c r="N4" s="667"/>
      <c r="P4" s="669"/>
      <c r="Q4" s="669"/>
      <c r="R4" s="669"/>
      <c r="S4" s="669"/>
      <c r="T4" s="669"/>
      <c r="U4" s="669"/>
      <c r="V4" s="669"/>
      <c r="W4" s="669"/>
      <c r="Y4" s="574"/>
      <c r="Z4" s="574"/>
      <c r="AA4" s="676" t="s">
        <v>254</v>
      </c>
      <c r="AB4" s="676" t="s">
        <v>221</v>
      </c>
      <c r="AC4" s="574" t="s">
        <v>222</v>
      </c>
      <c r="AD4" s="574" t="s">
        <v>223</v>
      </c>
      <c r="AE4" s="693" t="s">
        <v>224</v>
      </c>
      <c r="AF4" s="693"/>
      <c r="AG4" s="693" t="s">
        <v>225</v>
      </c>
      <c r="AH4" s="693"/>
      <c r="AI4" s="693"/>
      <c r="AJ4" s="693"/>
      <c r="AK4" s="574" t="s">
        <v>226</v>
      </c>
      <c r="AL4" s="693" t="s">
        <v>227</v>
      </c>
      <c r="AM4" s="693" t="s">
        <v>228</v>
      </c>
      <c r="AN4" s="677"/>
      <c r="AO4" s="677"/>
      <c r="AQ4" s="665"/>
      <c r="AR4" s="665"/>
      <c r="AS4" s="665"/>
      <c r="AT4" s="665"/>
      <c r="AU4" s="665"/>
      <c r="AV4" s="665"/>
      <c r="AW4" s="665"/>
      <c r="AX4" s="665"/>
      <c r="AY4" s="665"/>
    </row>
    <row r="5" spans="1:51" ht="31.5" thickTop="1" thickBot="1" x14ac:dyDescent="0.3">
      <c r="A5" s="71" t="s">
        <v>6</v>
      </c>
      <c r="B5" s="71" t="s">
        <v>50</v>
      </c>
      <c r="C5" s="111" t="s">
        <v>51</v>
      </c>
      <c r="E5" s="717" t="s">
        <v>58</v>
      </c>
      <c r="F5" s="718"/>
      <c r="G5" s="63"/>
      <c r="H5" s="63"/>
      <c r="I5" s="63"/>
      <c r="K5" s="210" t="s">
        <v>55</v>
      </c>
      <c r="L5" s="210" t="s">
        <v>54</v>
      </c>
      <c r="M5" s="213" t="s">
        <v>168</v>
      </c>
      <c r="N5" s="214" t="s">
        <v>255</v>
      </c>
      <c r="O5" s="29"/>
      <c r="P5" s="210" t="s">
        <v>188</v>
      </c>
      <c r="Q5" s="210" t="s">
        <v>206</v>
      </c>
      <c r="R5" s="210" t="s">
        <v>207</v>
      </c>
      <c r="S5" s="210" t="s">
        <v>208</v>
      </c>
      <c r="T5" s="210" t="s">
        <v>209</v>
      </c>
      <c r="U5" s="214" t="s">
        <v>257</v>
      </c>
      <c r="V5" s="214" t="s">
        <v>256</v>
      </c>
      <c r="W5" s="210" t="s">
        <v>212</v>
      </c>
      <c r="Y5" s="574"/>
      <c r="Z5" s="574"/>
      <c r="AA5" s="679"/>
      <c r="AB5" s="679"/>
      <c r="AC5" s="693"/>
      <c r="AD5" s="693"/>
      <c r="AE5" s="214" t="s">
        <v>249</v>
      </c>
      <c r="AF5" s="214" t="s">
        <v>252</v>
      </c>
      <c r="AG5" s="210" t="s">
        <v>229</v>
      </c>
      <c r="AH5" s="214" t="s">
        <v>250</v>
      </c>
      <c r="AI5" s="214" t="s">
        <v>251</v>
      </c>
      <c r="AJ5" s="214" t="s">
        <v>253</v>
      </c>
      <c r="AK5" s="574"/>
      <c r="AL5" s="693"/>
      <c r="AM5" s="693"/>
      <c r="AN5" s="678"/>
      <c r="AO5" s="678"/>
      <c r="AQ5" s="210" t="s">
        <v>188</v>
      </c>
      <c r="AR5" s="215" t="s">
        <v>237</v>
      </c>
      <c r="AS5" s="214" t="s">
        <v>238</v>
      </c>
      <c r="AT5" s="214" t="s">
        <v>239</v>
      </c>
      <c r="AU5" s="214" t="s">
        <v>240</v>
      </c>
      <c r="AV5" s="214" t="s">
        <v>258</v>
      </c>
      <c r="AW5" s="210" t="s">
        <v>91</v>
      </c>
      <c r="AX5" s="214" t="s">
        <v>259</v>
      </c>
      <c r="AY5" s="399" t="s">
        <v>243</v>
      </c>
    </row>
    <row r="6" spans="1:51" ht="20.25" customHeight="1" thickTop="1" x14ac:dyDescent="0.3">
      <c r="A6" s="2" t="s">
        <v>7</v>
      </c>
      <c r="B6" s="5" t="s">
        <v>8</v>
      </c>
      <c r="C6" s="51">
        <f>'Input sheet'!E8</f>
        <v>8125</v>
      </c>
      <c r="E6" s="216" t="s">
        <v>56</v>
      </c>
      <c r="F6" s="217" t="s">
        <v>308</v>
      </c>
      <c r="K6" s="230" t="s">
        <v>26</v>
      </c>
      <c r="L6" s="420" t="s">
        <v>153</v>
      </c>
      <c r="M6" s="351">
        <f>(C10+C11)*(C7+C17+C9)</f>
        <v>303187500</v>
      </c>
      <c r="N6" s="460">
        <f>SUM(M6:M11)</f>
        <v>1870843750</v>
      </c>
      <c r="P6" s="229" t="s">
        <v>26</v>
      </c>
      <c r="Q6" s="44">
        <f t="shared" ref="Q6:Q13" si="0">$C$29</f>
        <v>45</v>
      </c>
      <c r="R6" s="44">
        <f>$C$30</f>
        <v>20</v>
      </c>
      <c r="S6" s="44">
        <v>10</v>
      </c>
      <c r="T6" s="44">
        <f t="shared" ref="T6:T19" si="1">SQRT(Q6^2 + R6^2 - 2 * Q6 * R6 * COS(RADIANS(S6))) / 2</f>
        <v>12.77053292327718</v>
      </c>
      <c r="U6" s="44">
        <f t="shared" ref="U6:U19" si="2">(T6/67.29)^3.79</f>
        <v>1.8390760451277139E-3</v>
      </c>
      <c r="V6" s="44">
        <f t="shared" ref="V6:V19" si="3">(U6+U6)-(U6*U6)</f>
        <v>3.6747698895556653E-3</v>
      </c>
      <c r="W6" s="460">
        <f>AVERAGE(V6:V11)</f>
        <v>4.8002292025053081E-3</v>
      </c>
      <c r="Y6" s="220" t="s">
        <v>26</v>
      </c>
      <c r="Z6" s="330" t="s">
        <v>231</v>
      </c>
      <c r="AA6" s="222" t="s">
        <v>246</v>
      </c>
      <c r="AB6" s="222">
        <f t="shared" ref="AB6:AB19" si="4">IF(TRIM(AA6)="Permitted or yield control",1, IF(TRIM(AA6)="Protected",0.01, 1))</f>
        <v>1</v>
      </c>
      <c r="AC6" s="222">
        <v>0.5</v>
      </c>
      <c r="AD6" s="222">
        <f t="shared" ref="AD6:AD19" si="5">AB6+((1-AC6)*(1-AB6))</f>
        <v>1</v>
      </c>
      <c r="AE6" s="222" t="s">
        <v>242</v>
      </c>
      <c r="AF6" s="222">
        <f t="shared" ref="AF6:AF19" si="6">IF(ISNUMBER(SEARCH("EBT", AE6)),$C$22, 0) + IF(ISNUMBER(SEARCH("WBT", AE6)),$C$23, 0)+IF(ISNUMBER(SEARCH("NBT", AE6)),$C$24, 0) + IF(ISNUMBER(SEARCH("SBT", AE6)),$C$25, 0)</f>
        <v>0</v>
      </c>
      <c r="AG6" s="222">
        <v>0</v>
      </c>
      <c r="AH6" s="222" t="s">
        <v>242</v>
      </c>
      <c r="AI6" s="222">
        <f t="shared" ref="AI6:AI19" si="7">IF(ISNUMBER(SEARCH("EBT", AH6)),$C$22, 0) + IF(ISNUMBER(SEARCH("WBT", AH6)),$C$23, 0)+IF(ISNUMBER(SEARCH("NBT", AH6)),$C$24, 0) + IF(ISNUMBER(SEARCH("SBT", AH6)),$C$25, 0)</f>
        <v>0</v>
      </c>
      <c r="AJ6" s="222">
        <f t="shared" ref="AJ6:AJ19" si="8">IF(AG6=0, 0, IF(AI6=1, 1, IF(AI6=2, 1*(1+0.75), 1*(1+0.75+0.5*(AI6-2)))))</f>
        <v>0</v>
      </c>
      <c r="AK6" s="222">
        <f t="shared" ref="AK6:AK19" si="9">IF(Z6="D",1,AF6+AJ6)</f>
        <v>1</v>
      </c>
      <c r="AL6" s="222" t="str">
        <f t="shared" ref="AL6:AL19" si="10">IF(Z6="D","NA",$C$29)</f>
        <v>NA</v>
      </c>
      <c r="AM6" s="222">
        <f t="shared" ref="AM6:AM19" si="11">IF(Z6="D", 1, 1-(((60-AL6)/60)*(0.1/0.15)))</f>
        <v>1</v>
      </c>
      <c r="AN6" s="223">
        <f t="shared" ref="AN6:AN19" si="12">IF(Z6="D",1,AD6*AK6*AM6)</f>
        <v>1</v>
      </c>
      <c r="AO6" s="672">
        <f>AVERAGE(AN6:AN11)</f>
        <v>1</v>
      </c>
      <c r="AQ6" s="229" t="s">
        <v>26</v>
      </c>
      <c r="AR6" s="234">
        <f t="shared" ref="AR6:AR19" si="13">M6</f>
        <v>303187500</v>
      </c>
      <c r="AS6" s="234">
        <f t="shared" ref="AS6:AS19" si="14">V6</f>
        <v>3.6747698895556653E-3</v>
      </c>
      <c r="AT6" s="234">
        <f t="shared" ref="AT6:AT19" si="15">AN6</f>
        <v>1</v>
      </c>
      <c r="AU6" s="234">
        <v>1</v>
      </c>
      <c r="AV6" s="234">
        <f>AR6*AS6*AT6*AU6</f>
        <v>1114144.2958896582</v>
      </c>
      <c r="AW6" s="460">
        <f>SUM(AV6:AV11)</f>
        <v>9127913.9720709436</v>
      </c>
      <c r="AX6" s="460">
        <f>100*EXP((-1/13700000)*AW6)</f>
        <v>51.362025357564164</v>
      </c>
      <c r="AY6" s="623">
        <f>100*EXP((-1/13700000)*((AW12+AW18+AW6)/3))</f>
        <v>22.279743800983624</v>
      </c>
    </row>
    <row r="7" spans="1:51" ht="18.75" x14ac:dyDescent="0.3">
      <c r="A7" s="3"/>
      <c r="B7" s="6" t="s">
        <v>9</v>
      </c>
      <c r="C7" s="52">
        <f>'Input sheet'!E9</f>
        <v>16250</v>
      </c>
      <c r="E7" s="110" t="s">
        <v>56</v>
      </c>
      <c r="F7" s="226" t="s">
        <v>309</v>
      </c>
      <c r="K7" s="239" t="s">
        <v>27</v>
      </c>
      <c r="L7" s="417" t="s">
        <v>152</v>
      </c>
      <c r="M7" s="351">
        <f>(C10+C11+C12+C13)*C14</f>
        <v>298593750</v>
      </c>
      <c r="N7" s="671"/>
      <c r="P7" s="238" t="s">
        <v>27</v>
      </c>
      <c r="Q7" s="45">
        <f t="shared" si="0"/>
        <v>45</v>
      </c>
      <c r="R7" s="45">
        <f>$C$30</f>
        <v>20</v>
      </c>
      <c r="S7" s="45">
        <v>10</v>
      </c>
      <c r="T7" s="45">
        <f t="shared" si="1"/>
        <v>12.77053292327718</v>
      </c>
      <c r="U7" s="45">
        <f t="shared" si="2"/>
        <v>1.8390760451277139E-3</v>
      </c>
      <c r="V7" s="45">
        <f t="shared" si="3"/>
        <v>3.6747698895556653E-3</v>
      </c>
      <c r="W7" s="671"/>
      <c r="Y7" s="239" t="s">
        <v>27</v>
      </c>
      <c r="Z7" s="331" t="s">
        <v>231</v>
      </c>
      <c r="AA7" s="232" t="s">
        <v>246</v>
      </c>
      <c r="AB7" s="232">
        <f t="shared" si="4"/>
        <v>1</v>
      </c>
      <c r="AC7" s="232">
        <v>0.5</v>
      </c>
      <c r="AD7" s="232">
        <f t="shared" si="5"/>
        <v>1</v>
      </c>
      <c r="AE7" s="232" t="s">
        <v>242</v>
      </c>
      <c r="AF7" s="232">
        <f t="shared" si="6"/>
        <v>0</v>
      </c>
      <c r="AG7" s="232">
        <v>0</v>
      </c>
      <c r="AH7" s="232" t="s">
        <v>242</v>
      </c>
      <c r="AI7" s="232">
        <f t="shared" si="7"/>
        <v>0</v>
      </c>
      <c r="AJ7" s="232">
        <f t="shared" si="8"/>
        <v>0</v>
      </c>
      <c r="AK7" s="232">
        <f t="shared" si="9"/>
        <v>1</v>
      </c>
      <c r="AL7" s="232" t="str">
        <f t="shared" si="10"/>
        <v>NA</v>
      </c>
      <c r="AM7" s="232">
        <f t="shared" si="11"/>
        <v>1</v>
      </c>
      <c r="AN7" s="233">
        <f t="shared" si="12"/>
        <v>1</v>
      </c>
      <c r="AO7" s="673"/>
      <c r="AQ7" s="238" t="s">
        <v>27</v>
      </c>
      <c r="AR7" s="234">
        <f t="shared" si="13"/>
        <v>298593750</v>
      </c>
      <c r="AS7" s="234">
        <f t="shared" si="14"/>
        <v>3.6747698895556653E-3</v>
      </c>
      <c r="AT7" s="234">
        <f t="shared" si="15"/>
        <v>1</v>
      </c>
      <c r="AU7" s="234">
        <v>1</v>
      </c>
      <c r="AV7" s="234">
        <f t="shared" ref="AV7:AV19" si="16">AR7*AS7*AT7*AU7</f>
        <v>1097263.321709512</v>
      </c>
      <c r="AW7" s="671"/>
      <c r="AX7" s="671"/>
      <c r="AY7" s="624"/>
    </row>
    <row r="8" spans="1:51" ht="19.5" thickBot="1" x14ac:dyDescent="0.35">
      <c r="A8" s="4"/>
      <c r="B8" s="7" t="s">
        <v>10</v>
      </c>
      <c r="C8" s="53">
        <f>'Input sheet'!E10</f>
        <v>8125</v>
      </c>
      <c r="E8" s="235" t="s">
        <v>57</v>
      </c>
      <c r="F8" s="236" t="s">
        <v>310</v>
      </c>
      <c r="K8" s="239" t="s">
        <v>22</v>
      </c>
      <c r="L8" s="417" t="s">
        <v>407</v>
      </c>
      <c r="M8" s="351">
        <f>(C11+C13)*(C10+C12)</f>
        <v>333640625</v>
      </c>
      <c r="N8" s="671"/>
      <c r="P8" s="238" t="s">
        <v>22</v>
      </c>
      <c r="Q8" s="45">
        <f t="shared" si="0"/>
        <v>45</v>
      </c>
      <c r="R8" s="45">
        <f>$C$31</f>
        <v>15</v>
      </c>
      <c r="S8" s="45">
        <v>10</v>
      </c>
      <c r="T8" s="45">
        <f t="shared" si="1"/>
        <v>15.169950011729762</v>
      </c>
      <c r="U8" s="45">
        <f t="shared" si="2"/>
        <v>3.5318107578168117E-3</v>
      </c>
      <c r="V8" s="45">
        <f t="shared" si="3"/>
        <v>7.051147828404593E-3</v>
      </c>
      <c r="W8" s="671"/>
      <c r="Y8" s="239" t="s">
        <v>22</v>
      </c>
      <c r="Z8" s="331" t="s">
        <v>231</v>
      </c>
      <c r="AA8" s="232" t="s">
        <v>246</v>
      </c>
      <c r="AB8" s="232">
        <f t="shared" si="4"/>
        <v>1</v>
      </c>
      <c r="AC8" s="232">
        <v>0.5</v>
      </c>
      <c r="AD8" s="232">
        <f t="shared" si="5"/>
        <v>1</v>
      </c>
      <c r="AE8" s="232" t="s">
        <v>242</v>
      </c>
      <c r="AF8" s="232">
        <f t="shared" si="6"/>
        <v>0</v>
      </c>
      <c r="AG8" s="232">
        <v>0</v>
      </c>
      <c r="AH8" s="232" t="s">
        <v>242</v>
      </c>
      <c r="AI8" s="232">
        <f t="shared" si="7"/>
        <v>0</v>
      </c>
      <c r="AJ8" s="232">
        <f t="shared" si="8"/>
        <v>0</v>
      </c>
      <c r="AK8" s="232">
        <f t="shared" si="9"/>
        <v>1</v>
      </c>
      <c r="AL8" s="232" t="str">
        <f t="shared" si="10"/>
        <v>NA</v>
      </c>
      <c r="AM8" s="232">
        <f t="shared" si="11"/>
        <v>1</v>
      </c>
      <c r="AN8" s="233">
        <f t="shared" si="12"/>
        <v>1</v>
      </c>
      <c r="AO8" s="673"/>
      <c r="AQ8" s="238" t="s">
        <v>22</v>
      </c>
      <c r="AR8" s="234">
        <f t="shared" si="13"/>
        <v>333640625</v>
      </c>
      <c r="AS8" s="234">
        <f t="shared" si="14"/>
        <v>7.051147828404593E-3</v>
      </c>
      <c r="AT8" s="234">
        <f t="shared" si="15"/>
        <v>1</v>
      </c>
      <c r="AU8" s="234">
        <v>1</v>
      </c>
      <c r="AV8" s="234">
        <f t="shared" si="16"/>
        <v>2352549.3684363011</v>
      </c>
      <c r="AW8" s="671"/>
      <c r="AX8" s="671"/>
      <c r="AY8" s="624"/>
    </row>
    <row r="9" spans="1:51" ht="19.5" thickTop="1" x14ac:dyDescent="0.3">
      <c r="A9" s="2" t="s">
        <v>23</v>
      </c>
      <c r="B9" s="5" t="s">
        <v>14</v>
      </c>
      <c r="C9" s="54">
        <f>'Input sheet'!E11</f>
        <v>4125</v>
      </c>
      <c r="K9" s="239" t="s">
        <v>20</v>
      </c>
      <c r="L9" s="417" t="s">
        <v>151</v>
      </c>
      <c r="M9" s="351">
        <f>(C11+C13+C15)*(C16+C17)</f>
        <v>303187500</v>
      </c>
      <c r="N9" s="671"/>
      <c r="P9" s="238" t="s">
        <v>20</v>
      </c>
      <c r="Q9" s="45">
        <f t="shared" si="0"/>
        <v>45</v>
      </c>
      <c r="R9" s="45">
        <f>$C$30</f>
        <v>20</v>
      </c>
      <c r="S9" s="45">
        <v>10</v>
      </c>
      <c r="T9" s="45">
        <f t="shared" si="1"/>
        <v>12.77053292327718</v>
      </c>
      <c r="U9" s="45">
        <f t="shared" si="2"/>
        <v>1.8390760451277139E-3</v>
      </c>
      <c r="V9" s="45">
        <f t="shared" si="3"/>
        <v>3.6747698895556653E-3</v>
      </c>
      <c r="W9" s="671"/>
      <c r="Y9" s="239" t="s">
        <v>20</v>
      </c>
      <c r="Z9" s="331" t="s">
        <v>231</v>
      </c>
      <c r="AA9" s="232" t="s">
        <v>246</v>
      </c>
      <c r="AB9" s="232">
        <f t="shared" si="4"/>
        <v>1</v>
      </c>
      <c r="AC9" s="232">
        <v>0.5</v>
      </c>
      <c r="AD9" s="232">
        <f t="shared" si="5"/>
        <v>1</v>
      </c>
      <c r="AE9" s="232" t="s">
        <v>242</v>
      </c>
      <c r="AF9" s="232">
        <f t="shared" si="6"/>
        <v>0</v>
      </c>
      <c r="AG9" s="232">
        <v>0</v>
      </c>
      <c r="AH9" s="232" t="s">
        <v>242</v>
      </c>
      <c r="AI9" s="232">
        <f t="shared" si="7"/>
        <v>0</v>
      </c>
      <c r="AJ9" s="232">
        <f t="shared" si="8"/>
        <v>0</v>
      </c>
      <c r="AK9" s="232">
        <f t="shared" si="9"/>
        <v>1</v>
      </c>
      <c r="AL9" s="232" t="str">
        <f t="shared" si="10"/>
        <v>NA</v>
      </c>
      <c r="AM9" s="232">
        <f t="shared" si="11"/>
        <v>1</v>
      </c>
      <c r="AN9" s="233">
        <f t="shared" si="12"/>
        <v>1</v>
      </c>
      <c r="AO9" s="673"/>
      <c r="AQ9" s="238" t="s">
        <v>20</v>
      </c>
      <c r="AR9" s="234">
        <f t="shared" si="13"/>
        <v>303187500</v>
      </c>
      <c r="AS9" s="234">
        <f t="shared" si="14"/>
        <v>3.6747698895556653E-3</v>
      </c>
      <c r="AT9" s="234">
        <f t="shared" si="15"/>
        <v>1</v>
      </c>
      <c r="AU9" s="234">
        <v>1</v>
      </c>
      <c r="AV9" s="234">
        <f t="shared" si="16"/>
        <v>1114144.2958896582</v>
      </c>
      <c r="AW9" s="671"/>
      <c r="AX9" s="671"/>
      <c r="AY9" s="624"/>
    </row>
    <row r="10" spans="1:51" ht="18.75" x14ac:dyDescent="0.3">
      <c r="A10" s="3"/>
      <c r="B10" s="6" t="s">
        <v>15</v>
      </c>
      <c r="C10" s="52">
        <f>'Input sheet'!E12</f>
        <v>8250</v>
      </c>
      <c r="K10" s="239" t="s">
        <v>28</v>
      </c>
      <c r="L10" s="417" t="s">
        <v>150</v>
      </c>
      <c r="M10" s="351">
        <f>(C16+C17+C6+C7)*C8</f>
        <v>298593750</v>
      </c>
      <c r="N10" s="671"/>
      <c r="P10" s="238" t="s">
        <v>28</v>
      </c>
      <c r="Q10" s="45">
        <f t="shared" si="0"/>
        <v>45</v>
      </c>
      <c r="R10" s="45">
        <f>$C$30</f>
        <v>20</v>
      </c>
      <c r="S10" s="45">
        <v>10</v>
      </c>
      <c r="T10" s="45">
        <f t="shared" si="1"/>
        <v>12.77053292327718</v>
      </c>
      <c r="U10" s="45">
        <f t="shared" si="2"/>
        <v>1.8390760451277139E-3</v>
      </c>
      <c r="V10" s="45">
        <f t="shared" si="3"/>
        <v>3.6747698895556653E-3</v>
      </c>
      <c r="W10" s="671"/>
      <c r="Y10" s="239" t="s">
        <v>28</v>
      </c>
      <c r="Z10" s="331" t="s">
        <v>231</v>
      </c>
      <c r="AA10" s="232" t="s">
        <v>246</v>
      </c>
      <c r="AB10" s="232">
        <f t="shared" si="4"/>
        <v>1</v>
      </c>
      <c r="AC10" s="232">
        <v>0.5</v>
      </c>
      <c r="AD10" s="232">
        <f t="shared" si="5"/>
        <v>1</v>
      </c>
      <c r="AE10" s="232" t="s">
        <v>242</v>
      </c>
      <c r="AF10" s="232">
        <f t="shared" si="6"/>
        <v>0</v>
      </c>
      <c r="AG10" s="232">
        <v>0</v>
      </c>
      <c r="AH10" s="232" t="s">
        <v>242</v>
      </c>
      <c r="AI10" s="232">
        <f t="shared" si="7"/>
        <v>0</v>
      </c>
      <c r="AJ10" s="232">
        <f t="shared" si="8"/>
        <v>0</v>
      </c>
      <c r="AK10" s="232">
        <f t="shared" si="9"/>
        <v>1</v>
      </c>
      <c r="AL10" s="232" t="str">
        <f t="shared" si="10"/>
        <v>NA</v>
      </c>
      <c r="AM10" s="232">
        <f t="shared" si="11"/>
        <v>1</v>
      </c>
      <c r="AN10" s="233">
        <f t="shared" si="12"/>
        <v>1</v>
      </c>
      <c r="AO10" s="673"/>
      <c r="AQ10" s="238" t="s">
        <v>28</v>
      </c>
      <c r="AR10" s="234">
        <f t="shared" si="13"/>
        <v>298593750</v>
      </c>
      <c r="AS10" s="234">
        <f t="shared" si="14"/>
        <v>3.6747698895556653E-3</v>
      </c>
      <c r="AT10" s="234">
        <f t="shared" si="15"/>
        <v>1</v>
      </c>
      <c r="AU10" s="234">
        <v>1</v>
      </c>
      <c r="AV10" s="234">
        <f t="shared" si="16"/>
        <v>1097263.321709512</v>
      </c>
      <c r="AW10" s="671"/>
      <c r="AX10" s="671"/>
      <c r="AY10" s="624"/>
    </row>
    <row r="11" spans="1:51" ht="19.5" thickBot="1" x14ac:dyDescent="0.35">
      <c r="A11" s="4"/>
      <c r="B11" s="7" t="s">
        <v>16</v>
      </c>
      <c r="C11" s="53">
        <f>'Input sheet'!E13</f>
        <v>4125</v>
      </c>
      <c r="K11" s="359" t="s">
        <v>21</v>
      </c>
      <c r="L11" s="347" t="s">
        <v>149</v>
      </c>
      <c r="M11" s="360">
        <f>(C16+C6)*(C17+C7)</f>
        <v>333640625</v>
      </c>
      <c r="N11" s="461"/>
      <c r="P11" s="361" t="s">
        <v>21</v>
      </c>
      <c r="Q11" s="46">
        <f t="shared" si="0"/>
        <v>45</v>
      </c>
      <c r="R11" s="46">
        <f>$C$31</f>
        <v>15</v>
      </c>
      <c r="S11" s="46">
        <v>10</v>
      </c>
      <c r="T11" s="46">
        <f t="shared" si="1"/>
        <v>15.169950011729762</v>
      </c>
      <c r="U11" s="46">
        <f t="shared" si="2"/>
        <v>3.5318107578168117E-3</v>
      </c>
      <c r="V11" s="46">
        <f t="shared" si="3"/>
        <v>7.051147828404593E-3</v>
      </c>
      <c r="W11" s="461"/>
      <c r="Y11" s="359" t="s">
        <v>21</v>
      </c>
      <c r="Z11" s="331" t="s">
        <v>231</v>
      </c>
      <c r="AA11" s="337" t="s">
        <v>246</v>
      </c>
      <c r="AB11" s="337">
        <f t="shared" si="4"/>
        <v>1</v>
      </c>
      <c r="AC11" s="337">
        <v>0.5</v>
      </c>
      <c r="AD11" s="337">
        <f t="shared" si="5"/>
        <v>1</v>
      </c>
      <c r="AE11" s="337" t="s">
        <v>242</v>
      </c>
      <c r="AF11" s="337">
        <f t="shared" si="6"/>
        <v>0</v>
      </c>
      <c r="AG11" s="337">
        <v>0</v>
      </c>
      <c r="AH11" s="337" t="s">
        <v>242</v>
      </c>
      <c r="AI11" s="337">
        <f t="shared" si="7"/>
        <v>0</v>
      </c>
      <c r="AJ11" s="337">
        <f t="shared" si="8"/>
        <v>0</v>
      </c>
      <c r="AK11" s="337">
        <f t="shared" si="9"/>
        <v>1</v>
      </c>
      <c r="AL11" s="337" t="str">
        <f t="shared" si="10"/>
        <v>NA</v>
      </c>
      <c r="AM11" s="337">
        <f t="shared" si="11"/>
        <v>1</v>
      </c>
      <c r="AN11" s="338">
        <f t="shared" si="12"/>
        <v>1</v>
      </c>
      <c r="AO11" s="674"/>
      <c r="AQ11" s="361" t="s">
        <v>21</v>
      </c>
      <c r="AR11" s="350">
        <f t="shared" si="13"/>
        <v>333640625</v>
      </c>
      <c r="AS11" s="350">
        <f t="shared" si="14"/>
        <v>7.051147828404593E-3</v>
      </c>
      <c r="AT11" s="350">
        <f t="shared" si="15"/>
        <v>1</v>
      </c>
      <c r="AU11" s="350">
        <v>1</v>
      </c>
      <c r="AV11" s="350">
        <f t="shared" si="16"/>
        <v>2352549.3684363011</v>
      </c>
      <c r="AW11" s="461"/>
      <c r="AX11" s="461"/>
      <c r="AY11" s="624"/>
    </row>
    <row r="12" spans="1:51" ht="19.5" thickTop="1" x14ac:dyDescent="0.3">
      <c r="A12" s="2" t="s">
        <v>24</v>
      </c>
      <c r="B12" s="5" t="s">
        <v>11</v>
      </c>
      <c r="C12" s="54">
        <f>'Input sheet'!E14</f>
        <v>8125</v>
      </c>
      <c r="K12" s="332" t="s">
        <v>26</v>
      </c>
      <c r="L12" s="420" t="s">
        <v>148</v>
      </c>
      <c r="M12" s="357">
        <f>(C9+C10+C11)*(C7+C17)</f>
        <v>336187500</v>
      </c>
      <c r="N12" s="460">
        <f>SUM(M12:M17)</f>
        <v>1742843750</v>
      </c>
      <c r="P12" s="254" t="s">
        <v>26</v>
      </c>
      <c r="Q12" s="44">
        <f t="shared" si="0"/>
        <v>45</v>
      </c>
      <c r="R12" s="44">
        <f>$C$32</f>
        <v>15</v>
      </c>
      <c r="S12" s="44">
        <v>45</v>
      </c>
      <c r="T12" s="44">
        <f t="shared" si="1"/>
        <v>17.995873453365363</v>
      </c>
      <c r="U12" s="44">
        <f t="shared" si="2"/>
        <v>6.7479662925189346E-3</v>
      </c>
      <c r="V12" s="44">
        <f t="shared" si="3"/>
        <v>1.3450397535952898E-2</v>
      </c>
      <c r="W12" s="460">
        <f>AVERAGE(V12:V17)</f>
        <v>9.0983041575331304E-3</v>
      </c>
      <c r="Y12" s="332" t="s">
        <v>26</v>
      </c>
      <c r="Z12" s="333" t="s">
        <v>232</v>
      </c>
      <c r="AA12" s="222" t="s">
        <v>195</v>
      </c>
      <c r="AB12" s="222">
        <f t="shared" si="4"/>
        <v>0.01</v>
      </c>
      <c r="AC12" s="222">
        <v>0.5</v>
      </c>
      <c r="AD12" s="222">
        <f t="shared" si="5"/>
        <v>0.505</v>
      </c>
      <c r="AE12" s="222">
        <v>0</v>
      </c>
      <c r="AF12" s="222">
        <f t="shared" si="6"/>
        <v>0</v>
      </c>
      <c r="AG12" s="222">
        <v>1</v>
      </c>
      <c r="AH12" s="222" t="s">
        <v>9</v>
      </c>
      <c r="AI12" s="222">
        <f t="shared" si="7"/>
        <v>2</v>
      </c>
      <c r="AJ12" s="222">
        <f t="shared" si="8"/>
        <v>1.75</v>
      </c>
      <c r="AK12" s="222">
        <f t="shared" si="9"/>
        <v>1.75</v>
      </c>
      <c r="AL12" s="222">
        <f t="shared" si="10"/>
        <v>45</v>
      </c>
      <c r="AM12" s="222">
        <f t="shared" si="11"/>
        <v>0.83333333333333326</v>
      </c>
      <c r="AN12" s="223">
        <f t="shared" si="12"/>
        <v>0.73645833333333333</v>
      </c>
      <c r="AO12" s="672">
        <f>AVERAGE(AN12:AN17)</f>
        <v>0.7715277777777777</v>
      </c>
      <c r="AQ12" s="254" t="s">
        <v>26</v>
      </c>
      <c r="AR12" s="225">
        <f t="shared" si="13"/>
        <v>336187500</v>
      </c>
      <c r="AS12" s="225">
        <f t="shared" si="14"/>
        <v>1.3450397535952898E-2</v>
      </c>
      <c r="AT12" s="225">
        <f t="shared" si="15"/>
        <v>0.73645833333333333</v>
      </c>
      <c r="AU12" s="225">
        <v>1</v>
      </c>
      <c r="AV12" s="225">
        <f t="shared" si="16"/>
        <v>3330158.1810250445</v>
      </c>
      <c r="AW12" s="460">
        <f>SUM(AV12:AV17)</f>
        <v>14716446.9102821</v>
      </c>
      <c r="AX12" s="460">
        <f>100*EXP((-1/13700000)*AW12)</f>
        <v>34.157322368738384</v>
      </c>
      <c r="AY12" s="624"/>
    </row>
    <row r="13" spans="1:51" ht="18.75" x14ac:dyDescent="0.3">
      <c r="A13" s="3"/>
      <c r="B13" s="6" t="s">
        <v>12</v>
      </c>
      <c r="C13" s="52">
        <f>'Input sheet'!E15</f>
        <v>16250</v>
      </c>
      <c r="K13" s="255" t="s">
        <v>27</v>
      </c>
      <c r="L13" s="419" t="s">
        <v>147</v>
      </c>
      <c r="M13" s="358">
        <f>(C10+C11)*(C12+C13+C14)</f>
        <v>402187500</v>
      </c>
      <c r="N13" s="671"/>
      <c r="P13" s="257" t="s">
        <v>27</v>
      </c>
      <c r="Q13" s="45">
        <f t="shared" si="0"/>
        <v>45</v>
      </c>
      <c r="R13" s="45">
        <f>$C$32</f>
        <v>15</v>
      </c>
      <c r="S13" s="45">
        <v>45</v>
      </c>
      <c r="T13" s="45">
        <f t="shared" si="1"/>
        <v>17.995873453365363</v>
      </c>
      <c r="U13" s="45">
        <f t="shared" si="2"/>
        <v>6.7479662925189346E-3</v>
      </c>
      <c r="V13" s="45">
        <f t="shared" si="3"/>
        <v>1.3450397535952898E-2</v>
      </c>
      <c r="W13" s="671"/>
      <c r="Y13" s="255" t="s">
        <v>27</v>
      </c>
      <c r="Z13" s="336" t="s">
        <v>232</v>
      </c>
      <c r="AA13" s="232" t="s">
        <v>195</v>
      </c>
      <c r="AB13" s="232">
        <f t="shared" si="4"/>
        <v>0.01</v>
      </c>
      <c r="AC13" s="232">
        <v>0.5</v>
      </c>
      <c r="AD13" s="232">
        <f t="shared" si="5"/>
        <v>0.505</v>
      </c>
      <c r="AE13" s="232">
        <v>0</v>
      </c>
      <c r="AF13" s="232">
        <f t="shared" si="6"/>
        <v>0</v>
      </c>
      <c r="AG13" s="232">
        <v>1</v>
      </c>
      <c r="AH13" s="232" t="s">
        <v>12</v>
      </c>
      <c r="AI13" s="232">
        <f t="shared" si="7"/>
        <v>2</v>
      </c>
      <c r="AJ13" s="232">
        <f t="shared" si="8"/>
        <v>1.75</v>
      </c>
      <c r="AK13" s="232">
        <f t="shared" si="9"/>
        <v>1.75</v>
      </c>
      <c r="AL13" s="232">
        <f t="shared" si="10"/>
        <v>45</v>
      </c>
      <c r="AM13" s="232">
        <f t="shared" si="11"/>
        <v>0.83333333333333326</v>
      </c>
      <c r="AN13" s="233">
        <f t="shared" si="12"/>
        <v>0.73645833333333333</v>
      </c>
      <c r="AO13" s="673"/>
      <c r="AQ13" s="257" t="s">
        <v>27</v>
      </c>
      <c r="AR13" s="258">
        <f t="shared" si="13"/>
        <v>402187500</v>
      </c>
      <c r="AS13" s="258">
        <f t="shared" si="14"/>
        <v>1.3450397535952898E-2</v>
      </c>
      <c r="AT13" s="258">
        <f t="shared" si="15"/>
        <v>0.73645833333333333</v>
      </c>
      <c r="AU13" s="258">
        <v>1</v>
      </c>
      <c r="AV13" s="258">
        <f t="shared" si="16"/>
        <v>3983931.5662569548</v>
      </c>
      <c r="AW13" s="671"/>
      <c r="AX13" s="671"/>
      <c r="AY13" s="624"/>
    </row>
    <row r="14" spans="1:51" ht="19.5" thickBot="1" x14ac:dyDescent="0.35">
      <c r="A14" s="4"/>
      <c r="B14" s="7" t="s">
        <v>13</v>
      </c>
      <c r="C14" s="53">
        <f>'Input sheet'!E16</f>
        <v>8125</v>
      </c>
      <c r="K14" s="260" t="s">
        <v>22</v>
      </c>
      <c r="L14" s="417" t="s">
        <v>146</v>
      </c>
      <c r="M14" s="351">
        <f>(C10+C12)*C8</f>
        <v>133046875</v>
      </c>
      <c r="N14" s="671"/>
      <c r="P14" s="259" t="s">
        <v>22</v>
      </c>
      <c r="Q14" s="45">
        <f>$C$30</f>
        <v>20</v>
      </c>
      <c r="R14" s="45">
        <f>$C$31</f>
        <v>15</v>
      </c>
      <c r="S14" s="45">
        <v>45</v>
      </c>
      <c r="T14" s="45">
        <f t="shared" si="1"/>
        <v>7.0840654162717795</v>
      </c>
      <c r="U14" s="45">
        <f t="shared" si="2"/>
        <v>1.9707812023953651E-4</v>
      </c>
      <c r="V14" s="45">
        <f t="shared" si="3"/>
        <v>3.9411740069359585E-4</v>
      </c>
      <c r="W14" s="671"/>
      <c r="Y14" s="260" t="s">
        <v>22</v>
      </c>
      <c r="Z14" s="336" t="s">
        <v>232</v>
      </c>
      <c r="AA14" s="232" t="s">
        <v>195</v>
      </c>
      <c r="AB14" s="232">
        <f t="shared" si="4"/>
        <v>0.01</v>
      </c>
      <c r="AC14" s="232">
        <v>0.5</v>
      </c>
      <c r="AD14" s="232">
        <f t="shared" si="5"/>
        <v>0.505</v>
      </c>
      <c r="AE14" s="232" t="s">
        <v>12</v>
      </c>
      <c r="AF14" s="232">
        <f t="shared" si="6"/>
        <v>2</v>
      </c>
      <c r="AG14" s="232">
        <v>0</v>
      </c>
      <c r="AH14" s="232" t="s">
        <v>15</v>
      </c>
      <c r="AI14" s="232">
        <f t="shared" si="7"/>
        <v>1</v>
      </c>
      <c r="AJ14" s="232">
        <f t="shared" si="8"/>
        <v>0</v>
      </c>
      <c r="AK14" s="232">
        <f t="shared" si="9"/>
        <v>2</v>
      </c>
      <c r="AL14" s="232">
        <f t="shared" si="10"/>
        <v>45</v>
      </c>
      <c r="AM14" s="232">
        <f t="shared" si="11"/>
        <v>0.83333333333333326</v>
      </c>
      <c r="AN14" s="233">
        <f t="shared" si="12"/>
        <v>0.84166666666666656</v>
      </c>
      <c r="AO14" s="673"/>
      <c r="AQ14" s="259" t="s">
        <v>22</v>
      </c>
      <c r="AR14" s="234">
        <f t="shared" si="13"/>
        <v>133046875</v>
      </c>
      <c r="AS14" s="234">
        <f t="shared" si="14"/>
        <v>3.9411740069359585E-4</v>
      </c>
      <c r="AT14" s="234">
        <f t="shared" si="15"/>
        <v>0.84166666666666656</v>
      </c>
      <c r="AU14" s="234">
        <v>1</v>
      </c>
      <c r="AV14" s="234">
        <f t="shared" si="16"/>
        <v>44133.707859049842</v>
      </c>
      <c r="AW14" s="671"/>
      <c r="AX14" s="671"/>
      <c r="AY14" s="624"/>
    </row>
    <row r="15" spans="1:51" ht="19.5" thickTop="1" x14ac:dyDescent="0.3">
      <c r="A15" s="2" t="s">
        <v>25</v>
      </c>
      <c r="B15" s="5" t="s">
        <v>17</v>
      </c>
      <c r="C15" s="54">
        <f>'Input sheet'!E17</f>
        <v>4125</v>
      </c>
      <c r="K15" s="260" t="s">
        <v>20</v>
      </c>
      <c r="L15" s="417" t="s">
        <v>145</v>
      </c>
      <c r="M15" s="351">
        <f>(C15+C16+C17)*(C11+C13)</f>
        <v>336187500</v>
      </c>
      <c r="N15" s="671"/>
      <c r="P15" s="259" t="s">
        <v>20</v>
      </c>
      <c r="Q15" s="45">
        <f>$C$29</f>
        <v>45</v>
      </c>
      <c r="R15" s="45">
        <f>$C$32</f>
        <v>15</v>
      </c>
      <c r="S15" s="45">
        <v>45</v>
      </c>
      <c r="T15" s="45">
        <f t="shared" si="1"/>
        <v>17.995873453365363</v>
      </c>
      <c r="U15" s="45">
        <f t="shared" si="2"/>
        <v>6.7479662925189346E-3</v>
      </c>
      <c r="V15" s="45">
        <f t="shared" si="3"/>
        <v>1.3450397535952898E-2</v>
      </c>
      <c r="W15" s="671"/>
      <c r="Y15" s="260" t="s">
        <v>20</v>
      </c>
      <c r="Z15" s="336" t="s">
        <v>232</v>
      </c>
      <c r="AA15" s="232" t="s">
        <v>195</v>
      </c>
      <c r="AB15" s="232">
        <f t="shared" si="4"/>
        <v>0.01</v>
      </c>
      <c r="AC15" s="232">
        <v>0.5</v>
      </c>
      <c r="AD15" s="232">
        <f t="shared" si="5"/>
        <v>0.505</v>
      </c>
      <c r="AE15" s="232">
        <v>0</v>
      </c>
      <c r="AF15" s="232">
        <f t="shared" si="6"/>
        <v>0</v>
      </c>
      <c r="AG15" s="232">
        <v>1</v>
      </c>
      <c r="AH15" s="232" t="s">
        <v>12</v>
      </c>
      <c r="AI15" s="232">
        <f t="shared" si="7"/>
        <v>2</v>
      </c>
      <c r="AJ15" s="232">
        <f t="shared" si="8"/>
        <v>1.75</v>
      </c>
      <c r="AK15" s="232">
        <f t="shared" si="9"/>
        <v>1.75</v>
      </c>
      <c r="AL15" s="232">
        <f t="shared" si="10"/>
        <v>45</v>
      </c>
      <c r="AM15" s="232">
        <f t="shared" si="11"/>
        <v>0.83333333333333326</v>
      </c>
      <c r="AN15" s="233">
        <f t="shared" si="12"/>
        <v>0.73645833333333333</v>
      </c>
      <c r="AO15" s="673"/>
      <c r="AQ15" s="259" t="s">
        <v>20</v>
      </c>
      <c r="AR15" s="234">
        <f t="shared" si="13"/>
        <v>336187500</v>
      </c>
      <c r="AS15" s="234">
        <f t="shared" si="14"/>
        <v>1.3450397535952898E-2</v>
      </c>
      <c r="AT15" s="234">
        <f t="shared" si="15"/>
        <v>0.73645833333333333</v>
      </c>
      <c r="AU15" s="234">
        <v>1</v>
      </c>
      <c r="AV15" s="234">
        <f t="shared" si="16"/>
        <v>3330158.1810250445</v>
      </c>
      <c r="AW15" s="671"/>
      <c r="AX15" s="671"/>
      <c r="AY15" s="624"/>
    </row>
    <row r="16" spans="1:51" ht="18.75" x14ac:dyDescent="0.3">
      <c r="A16" s="3"/>
      <c r="B16" s="6" t="s">
        <v>18</v>
      </c>
      <c r="C16" s="52">
        <f>'Input sheet'!E18</f>
        <v>8250</v>
      </c>
      <c r="K16" s="260" t="s">
        <v>28</v>
      </c>
      <c r="L16" s="417" t="s">
        <v>144</v>
      </c>
      <c r="M16" s="351">
        <f>(C16+C17)*(C6+C7+C8)</f>
        <v>402187500</v>
      </c>
      <c r="N16" s="671"/>
      <c r="P16" s="259" t="s">
        <v>28</v>
      </c>
      <c r="Q16" s="45">
        <f>$C$29</f>
        <v>45</v>
      </c>
      <c r="R16" s="45">
        <f>$C$32</f>
        <v>15</v>
      </c>
      <c r="S16" s="45">
        <v>45</v>
      </c>
      <c r="T16" s="45">
        <f t="shared" si="1"/>
        <v>17.995873453365363</v>
      </c>
      <c r="U16" s="45">
        <f t="shared" si="2"/>
        <v>6.7479662925189346E-3</v>
      </c>
      <c r="V16" s="45">
        <f t="shared" si="3"/>
        <v>1.3450397535952898E-2</v>
      </c>
      <c r="W16" s="671"/>
      <c r="Y16" s="260" t="s">
        <v>28</v>
      </c>
      <c r="Z16" s="336" t="s">
        <v>232</v>
      </c>
      <c r="AA16" s="232" t="s">
        <v>195</v>
      </c>
      <c r="AB16" s="232">
        <f t="shared" si="4"/>
        <v>0.01</v>
      </c>
      <c r="AC16" s="232">
        <v>0.5</v>
      </c>
      <c r="AD16" s="232">
        <f t="shared" si="5"/>
        <v>0.505</v>
      </c>
      <c r="AE16" s="232">
        <v>0</v>
      </c>
      <c r="AF16" s="232">
        <f t="shared" si="6"/>
        <v>0</v>
      </c>
      <c r="AG16" s="232">
        <v>1</v>
      </c>
      <c r="AH16" s="232" t="s">
        <v>9</v>
      </c>
      <c r="AI16" s="232">
        <f t="shared" si="7"/>
        <v>2</v>
      </c>
      <c r="AJ16" s="232">
        <f t="shared" si="8"/>
        <v>1.75</v>
      </c>
      <c r="AK16" s="232">
        <f t="shared" si="9"/>
        <v>1.75</v>
      </c>
      <c r="AL16" s="232">
        <f t="shared" si="10"/>
        <v>45</v>
      </c>
      <c r="AM16" s="232">
        <f t="shared" si="11"/>
        <v>0.83333333333333326</v>
      </c>
      <c r="AN16" s="233">
        <f t="shared" si="12"/>
        <v>0.73645833333333333</v>
      </c>
      <c r="AO16" s="673"/>
      <c r="AQ16" s="259" t="s">
        <v>28</v>
      </c>
      <c r="AR16" s="234">
        <f t="shared" si="13"/>
        <v>402187500</v>
      </c>
      <c r="AS16" s="234">
        <f t="shared" si="14"/>
        <v>1.3450397535952898E-2</v>
      </c>
      <c r="AT16" s="234">
        <f t="shared" si="15"/>
        <v>0.73645833333333333</v>
      </c>
      <c r="AU16" s="234">
        <v>1</v>
      </c>
      <c r="AV16" s="234">
        <f t="shared" si="16"/>
        <v>3983931.5662569548</v>
      </c>
      <c r="AW16" s="671"/>
      <c r="AX16" s="671"/>
      <c r="AY16" s="624"/>
    </row>
    <row r="17" spans="1:51" ht="19.5" thickBot="1" x14ac:dyDescent="0.35">
      <c r="A17" s="4"/>
      <c r="B17" s="7" t="s">
        <v>19</v>
      </c>
      <c r="C17" s="53">
        <f>'Input sheet'!E19</f>
        <v>4125</v>
      </c>
      <c r="K17" s="356" t="s">
        <v>21</v>
      </c>
      <c r="L17" s="347" t="s">
        <v>143</v>
      </c>
      <c r="M17" s="360">
        <f>(C16+C6)*C14</f>
        <v>133046875</v>
      </c>
      <c r="N17" s="461"/>
      <c r="P17" s="355" t="s">
        <v>21</v>
      </c>
      <c r="Q17" s="46">
        <f>$C$30</f>
        <v>20</v>
      </c>
      <c r="R17" s="46">
        <f>$C$31</f>
        <v>15</v>
      </c>
      <c r="S17" s="46">
        <v>45</v>
      </c>
      <c r="T17" s="46">
        <f t="shared" si="1"/>
        <v>7.0840654162717795</v>
      </c>
      <c r="U17" s="46">
        <f t="shared" si="2"/>
        <v>1.9707812023953651E-4</v>
      </c>
      <c r="V17" s="46">
        <f t="shared" si="3"/>
        <v>3.9411740069359585E-4</v>
      </c>
      <c r="W17" s="461"/>
      <c r="Y17" s="356" t="s">
        <v>21</v>
      </c>
      <c r="Z17" s="336" t="s">
        <v>232</v>
      </c>
      <c r="AA17" s="249" t="s">
        <v>195</v>
      </c>
      <c r="AB17" s="249">
        <f t="shared" si="4"/>
        <v>0.01</v>
      </c>
      <c r="AC17" s="249">
        <v>0.5</v>
      </c>
      <c r="AD17" s="249">
        <f t="shared" si="5"/>
        <v>0.505</v>
      </c>
      <c r="AE17" s="249" t="s">
        <v>9</v>
      </c>
      <c r="AF17" s="249">
        <f t="shared" si="6"/>
        <v>2</v>
      </c>
      <c r="AG17" s="249">
        <v>0</v>
      </c>
      <c r="AH17" s="249" t="s">
        <v>18</v>
      </c>
      <c r="AI17" s="249">
        <f t="shared" si="7"/>
        <v>1</v>
      </c>
      <c r="AJ17" s="249">
        <f t="shared" si="8"/>
        <v>0</v>
      </c>
      <c r="AK17" s="249">
        <f t="shared" si="9"/>
        <v>2</v>
      </c>
      <c r="AL17" s="249">
        <f t="shared" si="10"/>
        <v>45</v>
      </c>
      <c r="AM17" s="249">
        <f t="shared" si="11"/>
        <v>0.83333333333333326</v>
      </c>
      <c r="AN17" s="250">
        <f t="shared" si="12"/>
        <v>0.84166666666666656</v>
      </c>
      <c r="AO17" s="674"/>
      <c r="AQ17" s="355" t="s">
        <v>21</v>
      </c>
      <c r="AR17" s="350">
        <f t="shared" si="13"/>
        <v>133046875</v>
      </c>
      <c r="AS17" s="350">
        <f t="shared" si="14"/>
        <v>3.9411740069359585E-4</v>
      </c>
      <c r="AT17" s="350">
        <f t="shared" si="15"/>
        <v>0.84166666666666656</v>
      </c>
      <c r="AU17" s="350">
        <v>1</v>
      </c>
      <c r="AV17" s="350">
        <f t="shared" si="16"/>
        <v>44133.707859049842</v>
      </c>
      <c r="AW17" s="461"/>
      <c r="AX17" s="461"/>
      <c r="AY17" s="624"/>
    </row>
    <row r="18" spans="1:51" ht="20.25" thickTop="1" thickBot="1" x14ac:dyDescent="0.35">
      <c r="A18" s="1"/>
      <c r="B18" s="8" t="s">
        <v>59</v>
      </c>
      <c r="C18" s="55">
        <f>'Input sheet'!E20</f>
        <v>98000</v>
      </c>
      <c r="K18" s="340" t="s">
        <v>26</v>
      </c>
      <c r="L18" s="363" t="s">
        <v>141</v>
      </c>
      <c r="M18" s="362">
        <f>C8*(C13+C11)</f>
        <v>165546875</v>
      </c>
      <c r="N18" s="460">
        <f>SUM(M18:M19)</f>
        <v>331093750</v>
      </c>
      <c r="P18" s="339" t="s">
        <v>26</v>
      </c>
      <c r="Q18" s="268">
        <f>$C$29</f>
        <v>45</v>
      </c>
      <c r="R18" s="268">
        <f>$C$30</f>
        <v>20</v>
      </c>
      <c r="S18" s="268">
        <v>230</v>
      </c>
      <c r="T18" s="268">
        <f t="shared" si="1"/>
        <v>29.924979939156898</v>
      </c>
      <c r="U18" s="268">
        <f t="shared" si="2"/>
        <v>4.6369867746318419E-2</v>
      </c>
      <c r="V18" s="268">
        <f t="shared" si="3"/>
        <v>9.0589570857825777E-2</v>
      </c>
      <c r="W18" s="460">
        <f>AVERAGE(V18:V19)</f>
        <v>9.0589570857825777E-2</v>
      </c>
      <c r="Y18" s="340" t="s">
        <v>26</v>
      </c>
      <c r="Z18" s="333" t="s">
        <v>235</v>
      </c>
      <c r="AA18" s="334" t="s">
        <v>247</v>
      </c>
      <c r="AB18" s="334">
        <f t="shared" si="4"/>
        <v>0.01</v>
      </c>
      <c r="AC18" s="334">
        <v>0.5</v>
      </c>
      <c r="AD18" s="334">
        <f t="shared" si="5"/>
        <v>0.505</v>
      </c>
      <c r="AE18" s="334" t="s">
        <v>12</v>
      </c>
      <c r="AF18" s="334">
        <f t="shared" si="6"/>
        <v>2</v>
      </c>
      <c r="AG18" s="334">
        <v>1</v>
      </c>
      <c r="AH18" s="334" t="s">
        <v>15</v>
      </c>
      <c r="AI18" s="334">
        <f t="shared" si="7"/>
        <v>1</v>
      </c>
      <c r="AJ18" s="334">
        <f t="shared" si="8"/>
        <v>1</v>
      </c>
      <c r="AK18" s="334">
        <f t="shared" si="9"/>
        <v>3</v>
      </c>
      <c r="AL18" s="334">
        <f t="shared" si="10"/>
        <v>45</v>
      </c>
      <c r="AM18" s="334">
        <f t="shared" si="11"/>
        <v>0.83333333333333326</v>
      </c>
      <c r="AN18" s="335">
        <f t="shared" si="12"/>
        <v>1.2625</v>
      </c>
      <c r="AO18" s="672">
        <f>AVERAGE(AN18:AN19)</f>
        <v>1.2625</v>
      </c>
      <c r="AQ18" s="339" t="s">
        <v>26</v>
      </c>
      <c r="AR18" s="225">
        <f t="shared" si="13"/>
        <v>165546875</v>
      </c>
      <c r="AS18" s="225">
        <f t="shared" si="14"/>
        <v>9.0589570857825777E-2</v>
      </c>
      <c r="AT18" s="225">
        <f t="shared" si="15"/>
        <v>1.2625</v>
      </c>
      <c r="AU18" s="225">
        <v>1</v>
      </c>
      <c r="AV18" s="225">
        <f t="shared" si="16"/>
        <v>18933485.708418962</v>
      </c>
      <c r="AW18" s="460">
        <f>SUM(AV18:AV19)</f>
        <v>37866971.416837923</v>
      </c>
      <c r="AX18" s="460">
        <f>100*EXP((-1/13700000)*AW18)</f>
        <v>6.3038318194321956</v>
      </c>
      <c r="AY18" s="624"/>
    </row>
    <row r="19" spans="1:51" ht="20.25" thickTop="1" thickBot="1" x14ac:dyDescent="0.35">
      <c r="B19" s="29"/>
      <c r="C19" s="98"/>
      <c r="K19" s="344" t="s">
        <v>27</v>
      </c>
      <c r="L19" s="418" t="s">
        <v>142</v>
      </c>
      <c r="M19" s="352">
        <f>C14*(C7+C17)</f>
        <v>165546875</v>
      </c>
      <c r="N19" s="461"/>
      <c r="P19" s="343" t="s">
        <v>27</v>
      </c>
      <c r="Q19" s="46">
        <f>$C$29</f>
        <v>45</v>
      </c>
      <c r="R19" s="46">
        <f>$C$30</f>
        <v>20</v>
      </c>
      <c r="S19" s="46">
        <v>230</v>
      </c>
      <c r="T19" s="46">
        <f t="shared" si="1"/>
        <v>29.924979939156898</v>
      </c>
      <c r="U19" s="46">
        <f t="shared" si="2"/>
        <v>4.6369867746318419E-2</v>
      </c>
      <c r="V19" s="46">
        <f t="shared" si="3"/>
        <v>9.0589570857825777E-2</v>
      </c>
      <c r="W19" s="461"/>
      <c r="Y19" s="344" t="s">
        <v>27</v>
      </c>
      <c r="Z19" s="345" t="s">
        <v>235</v>
      </c>
      <c r="AA19" s="249" t="s">
        <v>247</v>
      </c>
      <c r="AB19" s="249">
        <f t="shared" si="4"/>
        <v>0.01</v>
      </c>
      <c r="AC19" s="249">
        <v>0.5</v>
      </c>
      <c r="AD19" s="249">
        <f t="shared" si="5"/>
        <v>0.505</v>
      </c>
      <c r="AE19" s="249" t="s">
        <v>9</v>
      </c>
      <c r="AF19" s="249">
        <f t="shared" si="6"/>
        <v>2</v>
      </c>
      <c r="AG19" s="249">
        <v>1</v>
      </c>
      <c r="AH19" s="249" t="s">
        <v>18</v>
      </c>
      <c r="AI19" s="249">
        <f t="shared" si="7"/>
        <v>1</v>
      </c>
      <c r="AJ19" s="249">
        <f t="shared" si="8"/>
        <v>1</v>
      </c>
      <c r="AK19" s="249">
        <f t="shared" si="9"/>
        <v>3</v>
      </c>
      <c r="AL19" s="249">
        <f t="shared" si="10"/>
        <v>45</v>
      </c>
      <c r="AM19" s="249">
        <f t="shared" si="11"/>
        <v>0.83333333333333326</v>
      </c>
      <c r="AN19" s="250">
        <f t="shared" si="12"/>
        <v>1.2625</v>
      </c>
      <c r="AO19" s="674"/>
      <c r="AQ19" s="343" t="s">
        <v>27</v>
      </c>
      <c r="AR19" s="251">
        <f t="shared" si="13"/>
        <v>165546875</v>
      </c>
      <c r="AS19" s="251">
        <f t="shared" si="14"/>
        <v>9.0589570857825777E-2</v>
      </c>
      <c r="AT19" s="251">
        <f t="shared" si="15"/>
        <v>1.2625</v>
      </c>
      <c r="AU19" s="251">
        <v>1</v>
      </c>
      <c r="AV19" s="251">
        <f t="shared" si="16"/>
        <v>18933485.708418962</v>
      </c>
      <c r="AW19" s="461"/>
      <c r="AX19" s="461"/>
      <c r="AY19" s="625"/>
    </row>
    <row r="20" spans="1:51" ht="16.5" thickTop="1" thickBot="1" x14ac:dyDescent="0.3">
      <c r="M20" s="98"/>
    </row>
    <row r="21" spans="1:51" ht="16.5" thickTop="1" thickBot="1" x14ac:dyDescent="0.3">
      <c r="A21" s="699" t="s">
        <v>245</v>
      </c>
      <c r="B21" s="700"/>
      <c r="C21" s="701"/>
      <c r="M21" s="98"/>
    </row>
    <row r="22" spans="1:51" ht="15.75" thickTop="1" x14ac:dyDescent="0.25">
      <c r="A22" s="460" t="s">
        <v>191</v>
      </c>
      <c r="B22" s="104" t="s">
        <v>9</v>
      </c>
      <c r="C22" s="93">
        <f>'Input sheet'!E38</f>
        <v>2</v>
      </c>
      <c r="M22" s="98"/>
    </row>
    <row r="23" spans="1:51" ht="15.75" thickBot="1" x14ac:dyDescent="0.3">
      <c r="A23" s="461"/>
      <c r="B23" s="105" t="s">
        <v>12</v>
      </c>
      <c r="C23" s="94">
        <f>'Input sheet'!E39</f>
        <v>2</v>
      </c>
      <c r="M23" s="98"/>
    </row>
    <row r="24" spans="1:51" ht="19.5" thickTop="1" x14ac:dyDescent="0.3">
      <c r="A24" s="460" t="s">
        <v>192</v>
      </c>
      <c r="B24" s="104" t="s">
        <v>15</v>
      </c>
      <c r="C24" s="93">
        <f>'Input sheet'!E40</f>
        <v>1</v>
      </c>
      <c r="K24" s="261"/>
      <c r="M24" s="98"/>
    </row>
    <row r="25" spans="1:51" ht="19.5" thickBot="1" x14ac:dyDescent="0.35">
      <c r="A25" s="461"/>
      <c r="B25" s="105" t="s">
        <v>18</v>
      </c>
      <c r="C25" s="94">
        <f>'Input sheet'!E41</f>
        <v>1</v>
      </c>
      <c r="K25" s="261"/>
      <c r="M25" s="98"/>
    </row>
    <row r="26" spans="1:51" ht="15.75" thickTop="1" x14ac:dyDescent="0.25">
      <c r="M26" s="98"/>
    </row>
    <row r="27" spans="1:51" ht="15.75" thickBot="1" x14ac:dyDescent="0.3">
      <c r="M27" s="98"/>
    </row>
    <row r="28" spans="1:51" ht="20.25" thickTop="1" thickBot="1" x14ac:dyDescent="0.35">
      <c r="B28" s="706" t="s">
        <v>199</v>
      </c>
      <c r="C28" s="707"/>
      <c r="K28" s="33"/>
      <c r="M28" s="98"/>
    </row>
    <row r="29" spans="1:51" ht="20.25" thickTop="1" thickBot="1" x14ac:dyDescent="0.35">
      <c r="B29" s="106" t="s">
        <v>200</v>
      </c>
      <c r="C29" s="60">
        <f>'Input sheet'!D27</f>
        <v>45</v>
      </c>
      <c r="K29" s="33"/>
      <c r="M29" s="98"/>
    </row>
    <row r="30" spans="1:51" ht="18.75" x14ac:dyDescent="0.3">
      <c r="B30" s="107" t="s">
        <v>201</v>
      </c>
      <c r="C30" s="61">
        <f>'Input sheet'!D28</f>
        <v>20</v>
      </c>
      <c r="E30" s="684" t="s">
        <v>189</v>
      </c>
      <c r="F30" s="685"/>
      <c r="G30" s="685"/>
      <c r="H30" s="685"/>
      <c r="I30" s="686"/>
      <c r="K30" s="33"/>
      <c r="M30" s="98"/>
    </row>
    <row r="31" spans="1:51" ht="18.75" x14ac:dyDescent="0.3">
      <c r="B31" s="107" t="s">
        <v>202</v>
      </c>
      <c r="C31" s="61">
        <f>'Input sheet'!D29</f>
        <v>15</v>
      </c>
      <c r="E31" s="687"/>
      <c r="F31" s="688"/>
      <c r="G31" s="688"/>
      <c r="H31" s="688"/>
      <c r="I31" s="689"/>
      <c r="K31" s="33"/>
      <c r="M31" s="98"/>
    </row>
    <row r="32" spans="1:51" ht="18.75" x14ac:dyDescent="0.3">
      <c r="B32" s="109" t="s">
        <v>203</v>
      </c>
      <c r="C32" s="108">
        <f>'Input sheet'!D30</f>
        <v>15</v>
      </c>
      <c r="E32" s="687"/>
      <c r="F32" s="688"/>
      <c r="G32" s="688"/>
      <c r="H32" s="688"/>
      <c r="I32" s="689"/>
      <c r="K32" s="33"/>
      <c r="M32" s="98"/>
    </row>
    <row r="33" spans="1:20" ht="19.5" thickBot="1" x14ac:dyDescent="0.35">
      <c r="B33" s="105" t="s">
        <v>204</v>
      </c>
      <c r="C33" s="94">
        <f>'Input sheet'!D31</f>
        <v>25</v>
      </c>
      <c r="E33" s="690"/>
      <c r="F33" s="691"/>
      <c r="G33" s="691"/>
      <c r="H33" s="691"/>
      <c r="I33" s="692"/>
      <c r="K33" s="33"/>
      <c r="M33" s="98"/>
    </row>
    <row r="34" spans="1:20" ht="19.5" thickTop="1" x14ac:dyDescent="0.3">
      <c r="K34" s="33"/>
    </row>
    <row r="35" spans="1:20" ht="18.75" x14ac:dyDescent="0.3">
      <c r="K35" s="33"/>
    </row>
    <row r="38" spans="1:20" ht="15.75" thickBot="1" x14ac:dyDescent="0.3">
      <c r="E38" s="98"/>
      <c r="P38" s="98"/>
    </row>
    <row r="39" spans="1:20" ht="18.75" x14ac:dyDescent="0.3">
      <c r="A39" s="34" t="s">
        <v>52</v>
      </c>
      <c r="B39" s="34"/>
      <c r="C39" s="34"/>
      <c r="D39" s="34"/>
      <c r="E39" s="34"/>
      <c r="F39" s="34"/>
      <c r="G39" s="34"/>
      <c r="H39" s="34"/>
      <c r="I39" s="35"/>
      <c r="J39" s="35"/>
      <c r="K39" s="36"/>
      <c r="L39" s="37"/>
      <c r="M39" s="37"/>
      <c r="N39" s="35"/>
      <c r="O39" s="35"/>
      <c r="P39" s="38"/>
      <c r="Q39" s="39"/>
      <c r="T39" s="33"/>
    </row>
    <row r="40" spans="1:20" ht="15.75" thickBot="1" x14ac:dyDescent="0.3">
      <c r="B40" s="17" t="s">
        <v>69</v>
      </c>
      <c r="K40" s="16"/>
      <c r="P40" s="40"/>
      <c r="Q40" s="39"/>
    </row>
    <row r="41" spans="1:20" ht="16.5" thickTop="1" thickBot="1" x14ac:dyDescent="0.3">
      <c r="A41" s="329" t="s">
        <v>3</v>
      </c>
      <c r="B41" s="19" t="s">
        <v>5</v>
      </c>
      <c r="C41" s="20" t="s">
        <v>38</v>
      </c>
      <c r="D41" s="21" t="s">
        <v>53</v>
      </c>
      <c r="E41" s="22" t="s">
        <v>48</v>
      </c>
      <c r="F41" s="18" t="s">
        <v>2</v>
      </c>
      <c r="K41" s="16"/>
      <c r="P41" s="40"/>
      <c r="Q41" s="39"/>
    </row>
    <row r="42" spans="1:20" ht="16.5" thickTop="1" thickBot="1" x14ac:dyDescent="0.3">
      <c r="A42" s="326">
        <f>A48</f>
        <v>3</v>
      </c>
      <c r="B42" s="24" t="str">
        <f>B48</f>
        <v>RCI</v>
      </c>
      <c r="C42" s="25">
        <v>6</v>
      </c>
      <c r="D42" s="26">
        <v>6</v>
      </c>
      <c r="E42" s="27">
        <v>2</v>
      </c>
      <c r="F42" s="28">
        <f>SUM(C42:E42)</f>
        <v>14</v>
      </c>
      <c r="K42" s="16"/>
      <c r="P42" s="40"/>
      <c r="Q42" s="39"/>
    </row>
    <row r="43" spans="1:20" ht="15.75" thickTop="1" x14ac:dyDescent="0.25">
      <c r="A43" s="327"/>
      <c r="B43" s="308"/>
      <c r="C43" s="325"/>
      <c r="D43" s="325"/>
      <c r="E43" s="325"/>
      <c r="F43" s="325"/>
      <c r="K43" s="16"/>
      <c r="P43" s="40"/>
      <c r="Q43" s="39"/>
    </row>
    <row r="44" spans="1:20" x14ac:dyDescent="0.25">
      <c r="K44" s="16"/>
      <c r="P44" s="40"/>
      <c r="Q44" s="39"/>
    </row>
    <row r="45" spans="1:20" ht="15.75" thickBot="1" x14ac:dyDescent="0.3">
      <c r="B45" s="306" t="s">
        <v>316</v>
      </c>
      <c r="C45" s="306"/>
      <c r="D45" s="306"/>
      <c r="E45" s="306"/>
      <c r="F45" s="306"/>
      <c r="G45" s="306"/>
      <c r="P45" s="40"/>
      <c r="Q45" s="39"/>
    </row>
    <row r="46" spans="1:20" ht="16.5" thickTop="1" thickBot="1" x14ac:dyDescent="0.3">
      <c r="A46" s="697" t="s">
        <v>260</v>
      </c>
      <c r="B46" s="477" t="s">
        <v>186</v>
      </c>
      <c r="C46" s="479" t="s">
        <v>297</v>
      </c>
      <c r="D46" s="481" t="s">
        <v>298</v>
      </c>
      <c r="E46" s="481"/>
      <c r="F46" s="481"/>
      <c r="G46" s="481"/>
      <c r="P46" s="40"/>
      <c r="Q46" s="39"/>
    </row>
    <row r="47" spans="1:20" ht="16.5" thickTop="1" thickBot="1" x14ac:dyDescent="0.3">
      <c r="A47" s="698"/>
      <c r="B47" s="478"/>
      <c r="C47" s="480"/>
      <c r="D47" s="277" t="s">
        <v>313</v>
      </c>
      <c r="E47" s="277" t="s">
        <v>46</v>
      </c>
      <c r="F47" s="277" t="s">
        <v>53</v>
      </c>
      <c r="G47" s="277" t="s">
        <v>1</v>
      </c>
      <c r="P47" s="40"/>
      <c r="Q47" s="39"/>
    </row>
    <row r="48" spans="1:20" ht="16.5" thickTop="1" thickBot="1" x14ac:dyDescent="0.3">
      <c r="A48" s="328">
        <f t="shared" ref="A48:G48" si="17">AI92</f>
        <v>3</v>
      </c>
      <c r="B48" s="31" t="str">
        <f t="shared" si="17"/>
        <v>RCI</v>
      </c>
      <c r="C48" s="309">
        <f t="shared" si="17"/>
        <v>22.279743800983624</v>
      </c>
      <c r="D48" s="309" t="str">
        <f t="shared" si="17"/>
        <v xml:space="preserve">na </v>
      </c>
      <c r="E48" s="309">
        <f t="shared" si="17"/>
        <v>51.362025357564164</v>
      </c>
      <c r="F48" s="309">
        <f t="shared" si="17"/>
        <v>34.157322368738384</v>
      </c>
      <c r="G48" s="309">
        <f t="shared" si="17"/>
        <v>6.3038318194321956</v>
      </c>
      <c r="P48" s="40"/>
    </row>
    <row r="49" spans="1:16" ht="15.75" thickTop="1" x14ac:dyDescent="0.25">
      <c r="P49" s="40"/>
    </row>
    <row r="50" spans="1:16" x14ac:dyDescent="0.25">
      <c r="P50" s="40"/>
    </row>
    <row r="51" spans="1:16" ht="15.75" thickBot="1" x14ac:dyDescent="0.3">
      <c r="B51" s="306" t="s">
        <v>317</v>
      </c>
      <c r="C51" s="306"/>
      <c r="D51" s="306"/>
      <c r="E51" s="306"/>
      <c r="F51" s="306"/>
      <c r="G51" s="306"/>
      <c r="H51" s="306"/>
      <c r="I51" s="306"/>
      <c r="J51" s="306"/>
      <c r="K51" s="306"/>
      <c r="L51" s="306"/>
      <c r="M51" s="306"/>
      <c r="N51" s="306"/>
      <c r="P51" s="40"/>
    </row>
    <row r="52" spans="1:16" ht="16.5" thickTop="1" thickBot="1" x14ac:dyDescent="0.3">
      <c r="A52" s="697" t="s">
        <v>260</v>
      </c>
      <c r="B52" s="477" t="s">
        <v>186</v>
      </c>
      <c r="C52" s="482" t="s">
        <v>314</v>
      </c>
      <c r="D52" s="482"/>
      <c r="E52" s="482"/>
      <c r="F52" s="482"/>
      <c r="G52" s="481" t="s">
        <v>315</v>
      </c>
      <c r="H52" s="481"/>
      <c r="I52" s="481"/>
      <c r="J52" s="481"/>
      <c r="K52" s="479" t="s">
        <v>301</v>
      </c>
      <c r="L52" s="479"/>
      <c r="M52" s="479"/>
      <c r="N52" s="479"/>
      <c r="P52" s="40"/>
    </row>
    <row r="53" spans="1:16" ht="30.75" customHeight="1" thickTop="1" thickBot="1" x14ac:dyDescent="0.3">
      <c r="A53" s="698"/>
      <c r="B53" s="478"/>
      <c r="C53" s="305" t="s">
        <v>303</v>
      </c>
      <c r="D53" s="305" t="s">
        <v>185</v>
      </c>
      <c r="E53" s="305" t="s">
        <v>184</v>
      </c>
      <c r="F53" s="305" t="s">
        <v>304</v>
      </c>
      <c r="G53" s="305" t="s">
        <v>303</v>
      </c>
      <c r="H53" s="305" t="s">
        <v>185</v>
      </c>
      <c r="I53" s="305" t="s">
        <v>184</v>
      </c>
      <c r="J53" s="305" t="s">
        <v>304</v>
      </c>
      <c r="K53" s="305" t="s">
        <v>303</v>
      </c>
      <c r="L53" s="305" t="s">
        <v>185</v>
      </c>
      <c r="M53" s="305" t="s">
        <v>184</v>
      </c>
      <c r="N53" s="305" t="s">
        <v>304</v>
      </c>
      <c r="P53" s="40"/>
    </row>
    <row r="54" spans="1:16" ht="16.5" thickTop="1" thickBot="1" x14ac:dyDescent="0.3">
      <c r="A54" s="328">
        <f t="shared" ref="A54:N54" si="18">AQ92</f>
        <v>3</v>
      </c>
      <c r="B54" s="31" t="str">
        <f t="shared" si="18"/>
        <v>RCI</v>
      </c>
      <c r="C54" s="303" t="str">
        <f t="shared" si="18"/>
        <v>na</v>
      </c>
      <c r="D54" s="324">
        <f t="shared" si="18"/>
        <v>2.2531802785095971</v>
      </c>
      <c r="E54" s="324">
        <f t="shared" si="18"/>
        <v>2.4815787131796743</v>
      </c>
      <c r="F54" s="324">
        <f t="shared" si="18"/>
        <v>0.26058832210143146</v>
      </c>
      <c r="G54" s="303" t="str">
        <f t="shared" si="18"/>
        <v>na</v>
      </c>
      <c r="H54" s="324">
        <f t="shared" si="18"/>
        <v>4.8002292025053081E-3</v>
      </c>
      <c r="I54" s="324">
        <f t="shared" si="18"/>
        <v>9.0983041575331304E-3</v>
      </c>
      <c r="J54" s="324">
        <f t="shared" si="18"/>
        <v>9.0589570857825777E-2</v>
      </c>
      <c r="K54" s="303" t="str">
        <f t="shared" si="18"/>
        <v>na</v>
      </c>
      <c r="L54" s="324">
        <f t="shared" si="18"/>
        <v>1</v>
      </c>
      <c r="M54" s="324">
        <f t="shared" si="18"/>
        <v>0.7715277777777777</v>
      </c>
      <c r="N54" s="324">
        <f t="shared" si="18"/>
        <v>1.2625</v>
      </c>
      <c r="P54" s="40"/>
    </row>
    <row r="55" spans="1:16" ht="15.75" thickTop="1" x14ac:dyDescent="0.25">
      <c r="P55" s="40"/>
    </row>
    <row r="56" spans="1:16" ht="15.75" thickBot="1" x14ac:dyDescent="0.3">
      <c r="A56" s="42"/>
      <c r="B56" s="42"/>
      <c r="C56" s="42"/>
      <c r="D56" s="42"/>
      <c r="E56" s="42"/>
      <c r="F56" s="42"/>
      <c r="G56" s="42"/>
      <c r="H56" s="42"/>
      <c r="I56" s="42"/>
      <c r="J56" s="42"/>
      <c r="K56" s="42"/>
      <c r="L56" s="42"/>
      <c r="M56" s="42"/>
      <c r="N56" s="42"/>
      <c r="O56" s="42"/>
      <c r="P56" s="43"/>
    </row>
    <row r="66" spans="11:11" ht="45.75" customHeight="1" x14ac:dyDescent="0.25"/>
    <row r="69" spans="11:11" x14ac:dyDescent="0.25">
      <c r="K69" s="16"/>
    </row>
    <row r="70" spans="11:11" x14ac:dyDescent="0.25">
      <c r="K70" s="16"/>
    </row>
    <row r="71" spans="11:11" x14ac:dyDescent="0.25">
      <c r="K71" s="16"/>
    </row>
    <row r="72" spans="11:11" x14ac:dyDescent="0.25">
      <c r="K72" s="16"/>
    </row>
    <row r="73" spans="11:11" x14ac:dyDescent="0.25">
      <c r="K73" s="16"/>
    </row>
    <row r="74" spans="11:11" x14ac:dyDescent="0.25">
      <c r="K74" s="16"/>
    </row>
    <row r="75" spans="11:11" x14ac:dyDescent="0.25">
      <c r="K75" s="16"/>
    </row>
    <row r="76" spans="11:11" x14ac:dyDescent="0.25">
      <c r="K76" s="16"/>
    </row>
    <row r="77" spans="11:11" x14ac:dyDescent="0.25">
      <c r="K77" s="16"/>
    </row>
    <row r="78" spans="11:11" x14ac:dyDescent="0.25">
      <c r="K78" s="16"/>
    </row>
    <row r="79" spans="11:11" x14ac:dyDescent="0.25">
      <c r="K79" s="16"/>
    </row>
    <row r="80" spans="11:11" x14ac:dyDescent="0.25">
      <c r="K80" s="16"/>
    </row>
    <row r="81" spans="1:56" x14ac:dyDescent="0.25">
      <c r="K81" s="16"/>
    </row>
    <row r="82" spans="1:56" x14ac:dyDescent="0.25">
      <c r="K82" s="16"/>
    </row>
    <row r="83" spans="1:56" x14ac:dyDescent="0.25">
      <c r="A83" s="29"/>
      <c r="B83" s="30"/>
      <c r="C83" s="29"/>
      <c r="D83" s="29"/>
      <c r="E83" s="29"/>
      <c r="F83" s="29"/>
      <c r="G83" s="29"/>
      <c r="H83" s="29"/>
      <c r="I83" s="29"/>
      <c r="J83" s="29"/>
      <c r="K83" s="29"/>
      <c r="L83" s="29"/>
      <c r="M83" s="29"/>
      <c r="N83" s="29"/>
      <c r="O83" s="29"/>
      <c r="P83" s="29"/>
      <c r="Q83" s="29"/>
      <c r="R83" s="29"/>
    </row>
    <row r="84" spans="1:56" x14ac:dyDescent="0.25">
      <c r="K84" s="16"/>
    </row>
    <row r="85" spans="1:56" x14ac:dyDescent="0.25">
      <c r="K85" s="16"/>
    </row>
    <row r="86" spans="1:56" x14ac:dyDescent="0.25">
      <c r="K86" s="16"/>
    </row>
    <row r="87" spans="1:56" ht="18.75" x14ac:dyDescent="0.3">
      <c r="A87" s="29"/>
      <c r="B87" s="32"/>
      <c r="C87" s="32"/>
      <c r="I87" s="16"/>
      <c r="J87" s="23"/>
      <c r="K87" s="23"/>
      <c r="R87" s="33"/>
    </row>
    <row r="88" spans="1:56" ht="18.75" x14ac:dyDescent="0.3">
      <c r="A88" s="29"/>
      <c r="B88" s="32"/>
      <c r="C88" s="32"/>
      <c r="I88" s="16"/>
      <c r="R88" s="33"/>
    </row>
    <row r="89" spans="1:56" ht="15.75" thickBot="1" x14ac:dyDescent="0.3">
      <c r="A89" s="29"/>
      <c r="B89" s="30"/>
      <c r="C89" s="29"/>
      <c r="D89" s="29"/>
      <c r="E89" s="29"/>
      <c r="F89" s="29"/>
      <c r="G89" s="29"/>
      <c r="H89" s="29"/>
      <c r="I89" s="29"/>
      <c r="J89" s="29"/>
      <c r="K89" s="29"/>
      <c r="L89" s="29"/>
      <c r="M89" s="29"/>
      <c r="N89" s="29"/>
      <c r="O89" s="29"/>
      <c r="P89" s="29"/>
      <c r="Q89" s="29"/>
      <c r="R89" s="29"/>
    </row>
    <row r="90" spans="1:56" ht="16.5" thickTop="1" thickBot="1" x14ac:dyDescent="0.3">
      <c r="K90" s="16"/>
      <c r="AI90" s="682" t="s">
        <v>296</v>
      </c>
      <c r="AJ90" s="682" t="s">
        <v>186</v>
      </c>
      <c r="AK90" s="683" t="s">
        <v>297</v>
      </c>
      <c r="AL90" s="682" t="s">
        <v>298</v>
      </c>
      <c r="AM90" s="682"/>
      <c r="AN90" s="682"/>
      <c r="AO90" s="682"/>
      <c r="AP90" s="162"/>
      <c r="AQ90" s="682" t="s">
        <v>296</v>
      </c>
      <c r="AR90" s="680" t="s">
        <v>186</v>
      </c>
      <c r="AS90" s="681" t="s">
        <v>299</v>
      </c>
      <c r="AT90" s="681"/>
      <c r="AU90" s="681"/>
      <c r="AV90" s="681"/>
      <c r="AW90" s="682" t="s">
        <v>300</v>
      </c>
      <c r="AX90" s="682"/>
      <c r="AY90" s="682"/>
      <c r="AZ90" s="682"/>
      <c r="BA90" s="683" t="s">
        <v>301</v>
      </c>
      <c r="BB90" s="683"/>
      <c r="BC90" s="683"/>
      <c r="BD90" s="683"/>
    </row>
    <row r="91" spans="1:56" ht="16.5" thickTop="1" thickBot="1" x14ac:dyDescent="0.3">
      <c r="K91" s="16"/>
      <c r="AI91" s="682"/>
      <c r="AJ91" s="682"/>
      <c r="AK91" s="683"/>
      <c r="AL91" s="163" t="s">
        <v>302</v>
      </c>
      <c r="AM91" s="163" t="s">
        <v>46</v>
      </c>
      <c r="AN91" s="163" t="s">
        <v>53</v>
      </c>
      <c r="AO91" s="163" t="s">
        <v>1</v>
      </c>
      <c r="AP91" s="162"/>
      <c r="AQ91" s="682"/>
      <c r="AR91" s="680"/>
      <c r="AS91" s="163" t="s">
        <v>303</v>
      </c>
      <c r="AT91" s="163" t="s">
        <v>185</v>
      </c>
      <c r="AU91" s="163" t="s">
        <v>184</v>
      </c>
      <c r="AV91" s="163" t="s">
        <v>304</v>
      </c>
      <c r="AW91" s="163" t="s">
        <v>303</v>
      </c>
      <c r="AX91" s="163" t="s">
        <v>185</v>
      </c>
      <c r="AY91" s="163" t="s">
        <v>184</v>
      </c>
      <c r="AZ91" s="163" t="s">
        <v>304</v>
      </c>
      <c r="BA91" s="163" t="s">
        <v>303</v>
      </c>
      <c r="BB91" s="163" t="s">
        <v>185</v>
      </c>
      <c r="BC91" s="163" t="s">
        <v>184</v>
      </c>
      <c r="BD91" s="163" t="s">
        <v>304</v>
      </c>
    </row>
    <row r="92" spans="1:56" ht="15.75" thickTop="1" x14ac:dyDescent="0.25">
      <c r="K92" s="16"/>
      <c r="AI92" s="164">
        <v>3</v>
      </c>
      <c r="AJ92" s="165" t="s">
        <v>47</v>
      </c>
      <c r="AK92" s="166">
        <f>$AY$6</f>
        <v>22.279743800983624</v>
      </c>
      <c r="AL92" s="167" t="s">
        <v>305</v>
      </c>
      <c r="AM92" s="168">
        <f>$AX$6</f>
        <v>51.362025357564164</v>
      </c>
      <c r="AN92" s="168">
        <f>$AX$12</f>
        <v>34.157322368738384</v>
      </c>
      <c r="AO92" s="168">
        <f>$AX$18</f>
        <v>6.3038318194321956</v>
      </c>
      <c r="AP92" s="169"/>
      <c r="AQ92" s="164">
        <v>3</v>
      </c>
      <c r="AR92" s="165" t="str">
        <f t="shared" ref="AR92" si="19">AJ92</f>
        <v>RCI</v>
      </c>
      <c r="AS92" s="170" t="s">
        <v>306</v>
      </c>
      <c r="AT92" s="171">
        <f>$N$6/'1.Conventional'!$N$6</f>
        <v>2.2531802785095971</v>
      </c>
      <c r="AU92" s="171">
        <f>$N$12/'1.Conventional'!$N$14</f>
        <v>2.4815787131796743</v>
      </c>
      <c r="AV92" s="171">
        <f>$N$18/'1.Conventional'!$N$22</f>
        <v>0.26058832210143146</v>
      </c>
      <c r="AW92" s="170" t="s">
        <v>306</v>
      </c>
      <c r="AX92" s="171">
        <f>$W$6</f>
        <v>4.8002292025053081E-3</v>
      </c>
      <c r="AY92" s="171">
        <f>$W$12</f>
        <v>9.0983041575331304E-3</v>
      </c>
      <c r="AZ92" s="171">
        <f>$W$18</f>
        <v>9.0589570857825777E-2</v>
      </c>
      <c r="BA92" s="172" t="s">
        <v>306</v>
      </c>
      <c r="BB92" s="173">
        <f>$AO$6</f>
        <v>1</v>
      </c>
      <c r="BC92" s="173">
        <f>$AO$12</f>
        <v>0.7715277777777777</v>
      </c>
      <c r="BD92" s="173">
        <f>$AO$18</f>
        <v>1.2625</v>
      </c>
    </row>
    <row r="93" spans="1:56" x14ac:dyDescent="0.25">
      <c r="H93" s="16"/>
    </row>
    <row r="94" spans="1:56" x14ac:dyDescent="0.25">
      <c r="K94" s="16"/>
    </row>
    <row r="95" spans="1:56" x14ac:dyDescent="0.25">
      <c r="K95" s="16"/>
    </row>
    <row r="96" spans="1:56" x14ac:dyDescent="0.25">
      <c r="K96" s="16"/>
    </row>
    <row r="97" spans="11:11" x14ac:dyDescent="0.25">
      <c r="K97" s="16"/>
    </row>
    <row r="98" spans="11:11" x14ac:dyDescent="0.25">
      <c r="K98" s="16"/>
    </row>
    <row r="99" spans="11:11" x14ac:dyDescent="0.25">
      <c r="K99" s="16"/>
    </row>
    <row r="100" spans="11:11" x14ac:dyDescent="0.25">
      <c r="K100" s="16"/>
    </row>
    <row r="101" spans="11:11" x14ac:dyDescent="0.25">
      <c r="K101" s="16"/>
    </row>
  </sheetData>
  <mergeCells count="61">
    <mergeCell ref="K2:N4"/>
    <mergeCell ref="P2:W4"/>
    <mergeCell ref="Y2:AO2"/>
    <mergeCell ref="AQ2:AY4"/>
    <mergeCell ref="E5:F5"/>
    <mergeCell ref="Y3:Y5"/>
    <mergeCell ref="Z3:Z5"/>
    <mergeCell ref="AA3:AD3"/>
    <mergeCell ref="AE3:AK3"/>
    <mergeCell ref="AL3:AM3"/>
    <mergeCell ref="E30:I33"/>
    <mergeCell ref="C46:C47"/>
    <mergeCell ref="D46:G46"/>
    <mergeCell ref="AI90:AI91"/>
    <mergeCell ref="K52:N52"/>
    <mergeCell ref="A4:C4"/>
    <mergeCell ref="A46:A47"/>
    <mergeCell ref="B46:B47"/>
    <mergeCell ref="A21:C21"/>
    <mergeCell ref="A22:A23"/>
    <mergeCell ref="A24:A25"/>
    <mergeCell ref="B28:C28"/>
    <mergeCell ref="AX6:AX11"/>
    <mergeCell ref="AN3:AN5"/>
    <mergeCell ref="AO3:AO5"/>
    <mergeCell ref="AA4:AA5"/>
    <mergeCell ref="AB4:AB5"/>
    <mergeCell ref="AC4:AC5"/>
    <mergeCell ref="AD4:AD5"/>
    <mergeCell ref="AE4:AF4"/>
    <mergeCell ref="AG4:AJ4"/>
    <mergeCell ref="AK4:AK5"/>
    <mergeCell ref="AL4:AL5"/>
    <mergeCell ref="AM4:AM5"/>
    <mergeCell ref="BA90:BD90"/>
    <mergeCell ref="AY6:AY19"/>
    <mergeCell ref="N12:N17"/>
    <mergeCell ref="W12:W17"/>
    <mergeCell ref="AO12:AO17"/>
    <mergeCell ref="AW12:AW17"/>
    <mergeCell ref="AX12:AX17"/>
    <mergeCell ref="N18:N19"/>
    <mergeCell ref="W18:W19"/>
    <mergeCell ref="AO18:AO19"/>
    <mergeCell ref="AW18:AW19"/>
    <mergeCell ref="AX18:AX19"/>
    <mergeCell ref="N6:N11"/>
    <mergeCell ref="W6:W11"/>
    <mergeCell ref="AO6:AO11"/>
    <mergeCell ref="AW6:AW11"/>
    <mergeCell ref="A52:A53"/>
    <mergeCell ref="AQ90:AQ91"/>
    <mergeCell ref="AR90:AR91"/>
    <mergeCell ref="AS90:AV90"/>
    <mergeCell ref="AW90:AZ90"/>
    <mergeCell ref="B52:B53"/>
    <mergeCell ref="C52:F52"/>
    <mergeCell ref="G52:J52"/>
    <mergeCell ref="AJ90:AJ91"/>
    <mergeCell ref="AK90:AK91"/>
    <mergeCell ref="AL90:AO9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5FCD022C13A458179560F1B98FB6E" ma:contentTypeVersion="17" ma:contentTypeDescription="Create a new document." ma:contentTypeScope="" ma:versionID="a621a444c8df309fd3ba4a17b4fc699a">
  <xsd:schema xmlns:xsd="http://www.w3.org/2001/XMLSchema" xmlns:xs="http://www.w3.org/2001/XMLSchema" xmlns:p="http://schemas.microsoft.com/office/2006/metadata/properties" xmlns:ns1="http://schemas.microsoft.com/sharepoint/v3" xmlns:ns2="16f00c2e-ac5c-418b-9f13-a0771dbd417d" xmlns:ns3="0bcbbd52-669d-4bfe-a9ed-8f88704bdd13" targetNamespace="http://schemas.microsoft.com/office/2006/metadata/properties" ma:root="true" ma:fieldsID="821003ad59b3ff1858127d6cb3c43185" ns1:_="" ns2:_="" ns3:_="">
    <xsd:import namespace="http://schemas.microsoft.com/sharepoint/v3"/>
    <xsd:import namespace="16f00c2e-ac5c-418b-9f13-a0771dbd417d"/>
    <xsd:import namespace="0bcbbd52-669d-4bfe-a9ed-8f88704bdd13"/>
    <xsd:element name="properties">
      <xsd:complexType>
        <xsd:sequence>
          <xsd:element name="documentManagement">
            <xsd:complexType>
              <xsd:all>
                <xsd:element ref="ns2:_dlc_DocId" minOccurs="0"/>
                <xsd:element ref="ns2:_dlc_DocIdUrl" minOccurs="0"/>
                <xsd:element ref="ns2:_dlc_DocIdPersistId" minOccurs="0"/>
                <xsd:element ref="ns3:Type_x0020_of_x0020_Doc" minOccurs="0"/>
                <xsd:element ref="ns1:URL" minOccurs="0"/>
                <xsd:element ref="ns3:Year" minOccurs="0"/>
                <xsd:element ref="ns3:SortOrder"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8"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cbbd52-669d-4bfe-a9ed-8f88704bdd13" elementFormDefault="qualified">
    <xsd:import namespace="http://schemas.microsoft.com/office/2006/documentManagement/types"/>
    <xsd:import namespace="http://schemas.microsoft.com/office/infopath/2007/PartnerControls"/>
    <xsd:element name="Type_x0020_of_x0020_Doc" ma:index="7" nillable="true" ma:displayName="Type of Doc" ma:internalName="Type_x0020_of_x0020_Doc" ma:readOnly="false">
      <xsd:simpleType>
        <xsd:restriction base="dms:Text">
          <xsd:maxLength value="255"/>
        </xsd:restriction>
      </xsd:simpleType>
    </xsd:element>
    <xsd:element name="Year" ma:index="13" nillable="true" ma:displayName="Year" ma:internalName="Year">
      <xsd:simpleType>
        <xsd:restriction base="dms:Text">
          <xsd:maxLength value="255"/>
        </xsd:restriction>
      </xsd:simpleType>
    </xsd:element>
    <xsd:element name="SortOrder" ma:index="14" nillable="true" ma:displayName="SortOrder" ma:decimals="0" ma:internalName="Sor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0bcbbd52-669d-4bfe-a9ed-8f88704bdd13" xsi:nil="true"/>
    <URL xmlns="http://schemas.microsoft.com/sharepoint/v3">
      <Url xsi:nil="true"/>
      <Description xsi:nil="true"/>
    </URL>
    <SortOrder xmlns="0bcbbd52-669d-4bfe-a9ed-8f88704bdd13" xsi:nil="true"/>
    <Type_x0020_of_x0020_Doc xmlns="0bcbbd52-669d-4bfe-a9ed-8f88704bdd13" xsi:nil="true"/>
  </documentManagement>
</p:properties>
</file>

<file path=customXml/itemProps1.xml><?xml version="1.0" encoding="utf-8"?>
<ds:datastoreItem xmlns:ds="http://schemas.openxmlformats.org/officeDocument/2006/customXml" ds:itemID="{55A8BA6C-EB76-4828-B71C-1CE874BD9D4F}"/>
</file>

<file path=customXml/itemProps2.xml><?xml version="1.0" encoding="utf-8"?>
<ds:datastoreItem xmlns:ds="http://schemas.openxmlformats.org/officeDocument/2006/customXml" ds:itemID="{9A287A6F-6996-45BB-B5F4-6D0922CFD7D8}"/>
</file>

<file path=customXml/itemProps3.xml><?xml version="1.0" encoding="utf-8"?>
<ds:datastoreItem xmlns:ds="http://schemas.openxmlformats.org/officeDocument/2006/customXml" ds:itemID="{1FD1B993-696C-4353-9CE7-C128FFE21D38}"/>
</file>

<file path=customXml/itemProps4.xml><?xml version="1.0" encoding="utf-8"?>
<ds:datastoreItem xmlns:ds="http://schemas.openxmlformats.org/officeDocument/2006/customXml" ds:itemID="{94B30355-8F29-400C-B6D3-8D62F9CE6D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Intersections Included</vt:lpstr>
      <vt:lpstr>Input sheet</vt:lpstr>
      <vt:lpstr>Results</vt:lpstr>
      <vt:lpstr>Equations and Assumptions</vt:lpstr>
      <vt:lpstr>SSI_Calculation</vt:lpstr>
      <vt:lpstr>1.Conventional</vt:lpstr>
      <vt:lpstr>2.Partial CFI</vt:lpstr>
      <vt:lpstr>3.RCI</vt:lpstr>
      <vt:lpstr>4.Two-Phase MUT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Gaurav Aryal</dc:creator>
  <cp:lastModifiedBy>Stephen Osafo-Gyamfi</cp:lastModifiedBy>
  <cp:lastPrinted>2024-06-01T17:25:26Z</cp:lastPrinted>
  <dcterms:created xsi:type="dcterms:W3CDTF">2024-03-02T18:31:08Z</dcterms:created>
  <dcterms:modified xsi:type="dcterms:W3CDTF">2024-08-26T23:27:07Z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0x010100AF05FCD022C13A458179560F1B98FB6E</vt:lpwstr>
  </property>
  <property fmtid="{D5CDD505-2E9C-101B-9397-08002B2CF9AE}" pid="3" name="Order">
    <vt:r8>17800</vt:r8>
  </property>
</Properties>
</file>