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67753 - NCDOT 2016 P&amp;D\DS-010 BUILD Grant\Submittals\BCA\"/>
    </mc:Choice>
  </mc:AlternateContent>
  <xr:revisionPtr revIDLastSave="0" documentId="8_{F024F3C9-0308-4596-B903-36DC120D42C2}" xr6:coauthVersionLast="36" xr6:coauthVersionMax="36" xr10:uidLastSave="{00000000-0000-0000-0000-000000000000}"/>
  <workbookProtection workbookAlgorithmName="SHA-512" workbookHashValue="2S3wpRMEFUVyDwVjky/0yu97uWZqbYgWGtOmQPE0jiEPFPhhpoa06+xX+LV779CE1RLIM5QzO1QK0/cDQBlz6A==" workbookSaltValue="Shv1s/ucHG9gc+KDOKOagg==" workbookSpinCount="100000" lockStructure="1"/>
  <bookViews>
    <workbookView xWindow="0" yWindow="0" windowWidth="28800" windowHeight="11625" activeTab="1" xr2:uid="{22021D3D-4C02-4AD7-A5BB-1123E192CBF8}"/>
  </bookViews>
  <sheets>
    <sheet name="Summary" sheetId="1" r:id="rId1"/>
    <sheet name="Inputs" sheetId="2" r:id="rId2"/>
    <sheet name="Costs" sheetId="3" r:id="rId3"/>
    <sheet name="Cost Detail" sheetId="4" r:id="rId4"/>
    <sheet name="DOT Fiber Savings" sheetId="5" r:id="rId5"/>
    <sheet name="Fiber 3rd Party" sheetId="7" r:id="rId6"/>
    <sheet name="Reduced Vehicle Crashes" sheetId="6" r:id="rId7"/>
    <sheet name="ICM Reliability" sheetId="8" r:id="rId8"/>
    <sheet name="AutonomousVehicles" sheetId="14" state="hidden" r:id="rId9"/>
    <sheet name="Deflator" sheetId="9" r:id="rId10"/>
    <sheet name="PopProjection3" sheetId="10" r:id="rId11"/>
    <sheet name="PopProjection4" sheetId="11" r:id="rId12"/>
    <sheet name="Sheet12" sheetId="12" r:id="rId13"/>
    <sheet name="Sheet13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7" l="1"/>
  <c r="D7" i="1"/>
  <c r="C43" i="5" l="1"/>
  <c r="D43" i="5"/>
  <c r="D3" i="8" l="1"/>
  <c r="H16" i="1"/>
  <c r="G16" i="1"/>
  <c r="J57" i="14" l="1"/>
  <c r="I57" i="14"/>
  <c r="H57" i="14"/>
  <c r="C57" i="14"/>
  <c r="O32" i="14"/>
  <c r="O30" i="14"/>
  <c r="K29" i="14"/>
  <c r="O26" i="14"/>
  <c r="K25" i="14"/>
  <c r="D24" i="14"/>
  <c r="F24" i="14" s="1"/>
  <c r="B19" i="14"/>
  <c r="B12" i="14"/>
  <c r="B13" i="14" s="1"/>
  <c r="S12" i="3"/>
  <c r="R12" i="3"/>
  <c r="S11" i="3"/>
  <c r="R11" i="3"/>
  <c r="S10" i="3"/>
  <c r="R10" i="3"/>
  <c r="S9" i="3"/>
  <c r="R9" i="3"/>
  <c r="S8" i="3"/>
  <c r="R8" i="3"/>
  <c r="S7" i="3"/>
  <c r="R7" i="3"/>
  <c r="S6" i="3"/>
  <c r="R6" i="3"/>
  <c r="S5" i="3"/>
  <c r="R5" i="3"/>
  <c r="R37" i="3"/>
  <c r="R35" i="3"/>
  <c r="R33" i="3"/>
  <c r="R31" i="3"/>
  <c r="R27" i="3"/>
  <c r="R25" i="3"/>
  <c r="R23" i="3"/>
  <c r="R21" i="3"/>
  <c r="R17" i="3"/>
  <c r="R15" i="3"/>
  <c r="R13" i="3"/>
  <c r="B34" i="8"/>
  <c r="D34" i="8" s="1"/>
  <c r="B33" i="8"/>
  <c r="B6" i="8"/>
  <c r="B7" i="8" s="1"/>
  <c r="D5" i="8"/>
  <c r="D32" i="8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C10" i="7"/>
  <c r="E14" i="7"/>
  <c r="D14" i="7"/>
  <c r="C9" i="7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F57" i="6"/>
  <c r="C56" i="6"/>
  <c r="F55" i="6"/>
  <c r="C54" i="6"/>
  <c r="E53" i="6"/>
  <c r="B52" i="6"/>
  <c r="F48" i="6"/>
  <c r="C47" i="6"/>
  <c r="E46" i="6"/>
  <c r="B45" i="6"/>
  <c r="E44" i="6"/>
  <c r="B43" i="6"/>
  <c r="F41" i="6"/>
  <c r="C40" i="6"/>
  <c r="F39" i="6"/>
  <c r="C38" i="6"/>
  <c r="E37" i="6"/>
  <c r="B36" i="6"/>
  <c r="D33" i="6"/>
  <c r="F17" i="6"/>
  <c r="F53" i="6" s="1"/>
  <c r="E17" i="6"/>
  <c r="D17" i="6"/>
  <c r="C17" i="6"/>
  <c r="C55" i="6" s="1"/>
  <c r="B17" i="6"/>
  <c r="B57" i="6" s="1"/>
  <c r="D42" i="5"/>
  <c r="C42" i="5"/>
  <c r="E42" i="5" s="1"/>
  <c r="D41" i="5"/>
  <c r="C41" i="5"/>
  <c r="E41" i="5" s="1"/>
  <c r="E40" i="5"/>
  <c r="G40" i="5" s="1"/>
  <c r="D40" i="5"/>
  <c r="C40" i="5"/>
  <c r="D39" i="5"/>
  <c r="C39" i="5"/>
  <c r="E39" i="5" s="1"/>
  <c r="D38" i="5"/>
  <c r="C38" i="5"/>
  <c r="E38" i="5" s="1"/>
  <c r="D37" i="5"/>
  <c r="D33" i="5"/>
  <c r="D29" i="5"/>
  <c r="D25" i="5"/>
  <c r="D21" i="5"/>
  <c r="D36" i="5"/>
  <c r="C37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O38" i="3"/>
  <c r="Q37" i="3"/>
  <c r="S37" i="3" s="1"/>
  <c r="K37" i="3"/>
  <c r="L37" i="3" s="1"/>
  <c r="Q36" i="3"/>
  <c r="S36" i="3" s="1"/>
  <c r="K36" i="3"/>
  <c r="L36" i="3" s="1"/>
  <c r="Q35" i="3"/>
  <c r="S35" i="3" s="1"/>
  <c r="K35" i="3"/>
  <c r="L35" i="3" s="1"/>
  <c r="Q34" i="3"/>
  <c r="S34" i="3" s="1"/>
  <c r="M34" i="3"/>
  <c r="K34" i="3"/>
  <c r="L34" i="3" s="1"/>
  <c r="Q33" i="3"/>
  <c r="S33" i="3" s="1"/>
  <c r="K33" i="3"/>
  <c r="L33" i="3" s="1"/>
  <c r="Q32" i="3"/>
  <c r="S32" i="3" s="1"/>
  <c r="K32" i="3"/>
  <c r="L32" i="3" s="1"/>
  <c r="Q31" i="3"/>
  <c r="S31" i="3" s="1"/>
  <c r="K31" i="3"/>
  <c r="L31" i="3" s="1"/>
  <c r="Q30" i="3"/>
  <c r="S30" i="3" s="1"/>
  <c r="M30" i="3"/>
  <c r="K30" i="3"/>
  <c r="L30" i="3" s="1"/>
  <c r="Q29" i="3"/>
  <c r="R29" i="3" s="1"/>
  <c r="M29" i="3"/>
  <c r="K29" i="3"/>
  <c r="L29" i="3" s="1"/>
  <c r="Q28" i="3"/>
  <c r="S28" i="3" s="1"/>
  <c r="M28" i="3"/>
  <c r="K28" i="3"/>
  <c r="L28" i="3" s="1"/>
  <c r="Q27" i="3"/>
  <c r="S27" i="3" s="1"/>
  <c r="M27" i="3"/>
  <c r="K27" i="3"/>
  <c r="L27" i="3" s="1"/>
  <c r="Q26" i="3"/>
  <c r="S26" i="3" s="1"/>
  <c r="K26" i="3"/>
  <c r="L26" i="3" s="1"/>
  <c r="Q25" i="3"/>
  <c r="S25" i="3" s="1"/>
  <c r="K25" i="3"/>
  <c r="L25" i="3" s="1"/>
  <c r="Q24" i="3"/>
  <c r="S24" i="3" s="1"/>
  <c r="K24" i="3"/>
  <c r="L24" i="3" s="1"/>
  <c r="Q23" i="3"/>
  <c r="S23" i="3" s="1"/>
  <c r="K23" i="3"/>
  <c r="L23" i="3" s="1"/>
  <c r="Q22" i="3"/>
  <c r="S22" i="3" s="1"/>
  <c r="K22" i="3"/>
  <c r="L22" i="3" s="1"/>
  <c r="Q21" i="3"/>
  <c r="S21" i="3" s="1"/>
  <c r="K21" i="3"/>
  <c r="L21" i="3" s="1"/>
  <c r="Q20" i="3"/>
  <c r="S20" i="3" s="1"/>
  <c r="K20" i="3"/>
  <c r="L20" i="3" s="1"/>
  <c r="A20" i="3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Q19" i="3"/>
  <c r="S19" i="3" s="1"/>
  <c r="K19" i="3"/>
  <c r="L19" i="3" s="1"/>
  <c r="A19" i="3"/>
  <c r="Q18" i="3"/>
  <c r="S18" i="3" s="1"/>
  <c r="K18" i="3"/>
  <c r="L18" i="3" s="1"/>
  <c r="Q17" i="3"/>
  <c r="S17" i="3" s="1"/>
  <c r="K17" i="3"/>
  <c r="M17" i="3" s="1"/>
  <c r="Q16" i="3"/>
  <c r="S16" i="3" s="1"/>
  <c r="K16" i="3"/>
  <c r="M16" i="3" s="1"/>
  <c r="Q15" i="3"/>
  <c r="S15" i="3" s="1"/>
  <c r="K15" i="3"/>
  <c r="Q14" i="3"/>
  <c r="S14" i="3" s="1"/>
  <c r="K14" i="3"/>
  <c r="L14" i="3" s="1"/>
  <c r="Q13" i="3"/>
  <c r="S13" i="3" s="1"/>
  <c r="Q12" i="3"/>
  <c r="J13" i="3"/>
  <c r="I13" i="3"/>
  <c r="H13" i="3"/>
  <c r="G13" i="3"/>
  <c r="E13" i="3"/>
  <c r="Q11" i="3"/>
  <c r="K11" i="3"/>
  <c r="L11" i="3" s="1"/>
  <c r="Q10" i="3"/>
  <c r="M10" i="3"/>
  <c r="L10" i="3"/>
  <c r="K10" i="3"/>
  <c r="Q9" i="3"/>
  <c r="M9" i="3"/>
  <c r="K9" i="3"/>
  <c r="L9" i="3" s="1"/>
  <c r="Q8" i="3"/>
  <c r="K8" i="3"/>
  <c r="L8" i="3" s="1"/>
  <c r="Q7" i="3"/>
  <c r="K7" i="3"/>
  <c r="L7" i="3" s="1"/>
  <c r="Q6" i="3"/>
  <c r="M6" i="3"/>
  <c r="L6" i="3"/>
  <c r="K6" i="3"/>
  <c r="Q5" i="3"/>
  <c r="M5" i="3"/>
  <c r="K5" i="3"/>
  <c r="L5" i="3" s="1"/>
  <c r="G27" i="4"/>
  <c r="G26" i="4"/>
  <c r="G22" i="4"/>
  <c r="D20" i="4"/>
  <c r="G20" i="4" s="1"/>
  <c r="G18" i="4"/>
  <c r="G16" i="4"/>
  <c r="C14" i="4"/>
  <c r="F14" i="4" s="1"/>
  <c r="G11" i="4"/>
  <c r="G10" i="4"/>
  <c r="H12" i="4" s="1"/>
  <c r="G8" i="4"/>
  <c r="G7" i="4"/>
  <c r="H9" i="4" s="1"/>
  <c r="H29" i="4" s="1"/>
  <c r="B12" i="2"/>
  <c r="B10" i="2"/>
  <c r="R19" i="3" l="1"/>
  <c r="S29" i="3"/>
  <c r="E37" i="5"/>
  <c r="F37" i="5" s="1"/>
  <c r="R14" i="3"/>
  <c r="R16" i="3"/>
  <c r="R18" i="3"/>
  <c r="R20" i="3"/>
  <c r="R22" i="3"/>
  <c r="R24" i="3"/>
  <c r="R26" i="3"/>
  <c r="R28" i="3"/>
  <c r="R30" i="3"/>
  <c r="R32" i="3"/>
  <c r="R34" i="3"/>
  <c r="R36" i="3"/>
  <c r="D26" i="14"/>
  <c r="O35" i="14"/>
  <c r="K34" i="14"/>
  <c r="O34" i="14"/>
  <c r="K33" i="14"/>
  <c r="E24" i="14"/>
  <c r="D25" i="14"/>
  <c r="K26" i="14"/>
  <c r="O27" i="14"/>
  <c r="K30" i="14"/>
  <c r="O31" i="14"/>
  <c r="K36" i="14"/>
  <c r="O24" i="14"/>
  <c r="K27" i="14"/>
  <c r="O28" i="14"/>
  <c r="K31" i="14"/>
  <c r="K35" i="14"/>
  <c r="O36" i="14"/>
  <c r="K24" i="14"/>
  <c r="O25" i="14"/>
  <c r="K28" i="14"/>
  <c r="O29" i="14"/>
  <c r="K32" i="14"/>
  <c r="O33" i="14"/>
  <c r="L17" i="3"/>
  <c r="M18" i="3"/>
  <c r="M19" i="3"/>
  <c r="M23" i="3"/>
  <c r="M14" i="3"/>
  <c r="M20" i="3"/>
  <c r="M21" i="3"/>
  <c r="M22" i="3"/>
  <c r="M35" i="3"/>
  <c r="M36" i="3"/>
  <c r="M37" i="3"/>
  <c r="I38" i="3"/>
  <c r="M24" i="3"/>
  <c r="M25" i="3"/>
  <c r="M26" i="3"/>
  <c r="M31" i="3"/>
  <c r="M32" i="3"/>
  <c r="M33" i="3"/>
  <c r="B8" i="8"/>
  <c r="D7" i="8"/>
  <c r="D33" i="8"/>
  <c r="D6" i="8"/>
  <c r="B35" i="8"/>
  <c r="D14" i="8"/>
  <c r="D16" i="8"/>
  <c r="D18" i="8"/>
  <c r="D20" i="8"/>
  <c r="D22" i="8"/>
  <c r="D24" i="8"/>
  <c r="D26" i="8"/>
  <c r="D28" i="8"/>
  <c r="D30" i="8"/>
  <c r="D13" i="8"/>
  <c r="D15" i="8"/>
  <c r="D17" i="8"/>
  <c r="D19" i="8"/>
  <c r="D21" i="8"/>
  <c r="D23" i="8"/>
  <c r="D25" i="8"/>
  <c r="D27" i="8"/>
  <c r="D29" i="8"/>
  <c r="D31" i="8"/>
  <c r="C35" i="7"/>
  <c r="B36" i="7"/>
  <c r="L57" i="6"/>
  <c r="D58" i="6"/>
  <c r="D56" i="6"/>
  <c r="D52" i="6"/>
  <c r="D48" i="6"/>
  <c r="D44" i="6"/>
  <c r="D40" i="6"/>
  <c r="D36" i="6"/>
  <c r="D55" i="6"/>
  <c r="D53" i="6"/>
  <c r="D46" i="6"/>
  <c r="D39" i="6"/>
  <c r="D37" i="6"/>
  <c r="D57" i="6"/>
  <c r="D50" i="6"/>
  <c r="D43" i="6"/>
  <c r="D41" i="6"/>
  <c r="D34" i="6"/>
  <c r="D51" i="6"/>
  <c r="D49" i="6"/>
  <c r="D54" i="6"/>
  <c r="D47" i="6"/>
  <c r="D45" i="6"/>
  <c r="D38" i="6"/>
  <c r="I58" i="6"/>
  <c r="D35" i="6"/>
  <c r="D42" i="6"/>
  <c r="E55" i="6"/>
  <c r="E51" i="6"/>
  <c r="E47" i="6"/>
  <c r="E43" i="6"/>
  <c r="E39" i="6"/>
  <c r="E35" i="6"/>
  <c r="E33" i="6"/>
  <c r="C34" i="6"/>
  <c r="F35" i="6"/>
  <c r="C36" i="6"/>
  <c r="L36" i="6" s="1"/>
  <c r="F37" i="6"/>
  <c r="B39" i="6"/>
  <c r="E40" i="6"/>
  <c r="B41" i="6"/>
  <c r="E42" i="6"/>
  <c r="C43" i="6"/>
  <c r="L43" i="6" s="1"/>
  <c r="F44" i="6"/>
  <c r="B48" i="6"/>
  <c r="E49" i="6"/>
  <c r="C50" i="6"/>
  <c r="F51" i="6"/>
  <c r="C52" i="6"/>
  <c r="L52" i="6" s="1"/>
  <c r="B55" i="6"/>
  <c r="E56" i="6"/>
  <c r="B54" i="6"/>
  <c r="B50" i="6"/>
  <c r="B46" i="6"/>
  <c r="B42" i="6"/>
  <c r="B38" i="6"/>
  <c r="B34" i="6"/>
  <c r="F54" i="6"/>
  <c r="F50" i="6"/>
  <c r="F46" i="6"/>
  <c r="F42" i="6"/>
  <c r="F38" i="6"/>
  <c r="F34" i="6"/>
  <c r="F33" i="6"/>
  <c r="B35" i="6"/>
  <c r="E36" i="6"/>
  <c r="B37" i="6"/>
  <c r="E38" i="6"/>
  <c r="C39" i="6"/>
  <c r="F40" i="6"/>
  <c r="B44" i="6"/>
  <c r="E45" i="6"/>
  <c r="C46" i="6"/>
  <c r="F47" i="6"/>
  <c r="C48" i="6"/>
  <c r="F49" i="6"/>
  <c r="B51" i="6"/>
  <c r="E52" i="6"/>
  <c r="B53" i="6"/>
  <c r="E54" i="6"/>
  <c r="F56" i="6"/>
  <c r="C57" i="6"/>
  <c r="C53" i="6"/>
  <c r="C49" i="6"/>
  <c r="C45" i="6"/>
  <c r="L45" i="6" s="1"/>
  <c r="C41" i="6"/>
  <c r="C37" i="6"/>
  <c r="C33" i="6"/>
  <c r="B33" i="6"/>
  <c r="E34" i="6"/>
  <c r="C35" i="6"/>
  <c r="F36" i="6"/>
  <c r="B40" i="6"/>
  <c r="E41" i="6"/>
  <c r="C42" i="6"/>
  <c r="F43" i="6"/>
  <c r="C44" i="6"/>
  <c r="F45" i="6"/>
  <c r="B47" i="6"/>
  <c r="L47" i="6" s="1"/>
  <c r="E48" i="6"/>
  <c r="B49" i="6"/>
  <c r="E50" i="6"/>
  <c r="C51" i="6"/>
  <c r="F52" i="6"/>
  <c r="B56" i="6"/>
  <c r="E57" i="6"/>
  <c r="G41" i="5"/>
  <c r="F41" i="5"/>
  <c r="F38" i="5"/>
  <c r="G38" i="5"/>
  <c r="G37" i="5"/>
  <c r="F42" i="5"/>
  <c r="G42" i="5"/>
  <c r="G39" i="5"/>
  <c r="F39" i="5"/>
  <c r="C22" i="5"/>
  <c r="C26" i="5"/>
  <c r="E26" i="5" s="1"/>
  <c r="C30" i="5"/>
  <c r="C34" i="5"/>
  <c r="C19" i="5"/>
  <c r="E19" i="5" s="1"/>
  <c r="D22" i="5"/>
  <c r="C23" i="5"/>
  <c r="D26" i="5"/>
  <c r="C27" i="5"/>
  <c r="E27" i="5" s="1"/>
  <c r="D30" i="5"/>
  <c r="C31" i="5"/>
  <c r="D34" i="5"/>
  <c r="C35" i="5"/>
  <c r="E35" i="5" s="1"/>
  <c r="F40" i="5"/>
  <c r="E18" i="5"/>
  <c r="D19" i="5"/>
  <c r="C20" i="5"/>
  <c r="D23" i="5"/>
  <c r="C24" i="5"/>
  <c r="D27" i="5"/>
  <c r="C28" i="5"/>
  <c r="D31" i="5"/>
  <c r="C32" i="5"/>
  <c r="D35" i="5"/>
  <c r="C36" i="5"/>
  <c r="E36" i="5" s="1"/>
  <c r="D20" i="5"/>
  <c r="C21" i="5"/>
  <c r="E21" i="5" s="1"/>
  <c r="D24" i="5"/>
  <c r="C25" i="5"/>
  <c r="E25" i="5" s="1"/>
  <c r="D28" i="5"/>
  <c r="C29" i="5"/>
  <c r="E29" i="5" s="1"/>
  <c r="D32" i="5"/>
  <c r="C33" i="5"/>
  <c r="E33" i="5" s="1"/>
  <c r="M8" i="3"/>
  <c r="M11" i="3"/>
  <c r="D13" i="3"/>
  <c r="D38" i="3" s="1"/>
  <c r="S38" i="3"/>
  <c r="G38" i="3"/>
  <c r="E38" i="3"/>
  <c r="J38" i="3"/>
  <c r="M7" i="3"/>
  <c r="C12" i="3"/>
  <c r="K12" i="3" s="1"/>
  <c r="F13" i="3"/>
  <c r="F38" i="3" s="1"/>
  <c r="M15" i="3"/>
  <c r="L15" i="3"/>
  <c r="L16" i="3"/>
  <c r="R38" i="3"/>
  <c r="G21" i="1" s="1"/>
  <c r="Q38" i="3"/>
  <c r="P38" i="3"/>
  <c r="H38" i="3"/>
  <c r="H21" i="1" l="1"/>
  <c r="H22" i="1" s="1"/>
  <c r="L24" i="14"/>
  <c r="M24" i="14"/>
  <c r="S24" i="14" s="1"/>
  <c r="E26" i="14"/>
  <c r="F26" i="14"/>
  <c r="F25" i="14"/>
  <c r="P25" i="14" s="1"/>
  <c r="E25" i="14"/>
  <c r="D27" i="14"/>
  <c r="P24" i="14"/>
  <c r="Q24" i="14"/>
  <c r="Q25" i="14"/>
  <c r="M26" i="14"/>
  <c r="L26" i="14"/>
  <c r="C21" i="1"/>
  <c r="C22" i="1" s="1"/>
  <c r="G22" i="1"/>
  <c r="D21" i="1"/>
  <c r="D22" i="1" s="1"/>
  <c r="C38" i="3"/>
  <c r="B9" i="8"/>
  <c r="D8" i="8"/>
  <c r="D35" i="8"/>
  <c r="B36" i="8"/>
  <c r="K5" i="8"/>
  <c r="C36" i="7"/>
  <c r="B37" i="7"/>
  <c r="E35" i="7"/>
  <c r="D35" i="7"/>
  <c r="M43" i="6"/>
  <c r="N43" i="6"/>
  <c r="M45" i="6"/>
  <c r="N45" i="6"/>
  <c r="M52" i="6"/>
  <c r="N52" i="6"/>
  <c r="N36" i="6"/>
  <c r="M36" i="6"/>
  <c r="L38" i="6"/>
  <c r="M47" i="6"/>
  <c r="N47" i="6"/>
  <c r="L53" i="6"/>
  <c r="L37" i="6"/>
  <c r="N57" i="6"/>
  <c r="M57" i="6"/>
  <c r="L46" i="6"/>
  <c r="L55" i="6"/>
  <c r="E58" i="6"/>
  <c r="J58" i="6"/>
  <c r="C58" i="6"/>
  <c r="H58" i="6"/>
  <c r="F58" i="6"/>
  <c r="K58" i="6"/>
  <c r="L54" i="6"/>
  <c r="L44" i="6"/>
  <c r="L42" i="6"/>
  <c r="L39" i="6"/>
  <c r="L56" i="6"/>
  <c r="L49" i="6"/>
  <c r="L40" i="6"/>
  <c r="B58" i="6"/>
  <c r="L51" i="6"/>
  <c r="L35" i="6"/>
  <c r="L34" i="6"/>
  <c r="L50" i="6"/>
  <c r="L48" i="6"/>
  <c r="L41" i="6"/>
  <c r="F26" i="5"/>
  <c r="G26" i="5"/>
  <c r="G33" i="5"/>
  <c r="F33" i="5"/>
  <c r="G36" i="5"/>
  <c r="F36" i="5"/>
  <c r="E20" i="5"/>
  <c r="G27" i="5"/>
  <c r="F27" i="5"/>
  <c r="E22" i="5"/>
  <c r="E34" i="5"/>
  <c r="G25" i="5"/>
  <c r="F25" i="5"/>
  <c r="E28" i="5"/>
  <c r="G35" i="5"/>
  <c r="F35" i="5"/>
  <c r="G19" i="5"/>
  <c r="F19" i="5"/>
  <c r="G29" i="5"/>
  <c r="F29" i="5"/>
  <c r="G21" i="5"/>
  <c r="F21" i="5"/>
  <c r="E32" i="5"/>
  <c r="E24" i="5"/>
  <c r="F18" i="5"/>
  <c r="G18" i="5"/>
  <c r="E31" i="5"/>
  <c r="E23" i="5"/>
  <c r="E30" i="5"/>
  <c r="M12" i="3"/>
  <c r="L12" i="3"/>
  <c r="K13" i="3"/>
  <c r="K38" i="3" s="1"/>
  <c r="E43" i="5" l="1"/>
  <c r="S26" i="14"/>
  <c r="F27" i="14"/>
  <c r="E27" i="14"/>
  <c r="Q26" i="14"/>
  <c r="P26" i="14"/>
  <c r="U24" i="14"/>
  <c r="T24" i="14"/>
  <c r="T26" i="14"/>
  <c r="U26" i="14"/>
  <c r="D28" i="14"/>
  <c r="M25" i="14"/>
  <c r="L25" i="14"/>
  <c r="K7" i="8"/>
  <c r="D36" i="8"/>
  <c r="B37" i="8"/>
  <c r="D37" i="8" s="1"/>
  <c r="M5" i="8"/>
  <c r="L5" i="8"/>
  <c r="B10" i="8"/>
  <c r="D9" i="8"/>
  <c r="C37" i="7"/>
  <c r="B38" i="7"/>
  <c r="E36" i="7"/>
  <c r="D36" i="7"/>
  <c r="N50" i="6"/>
  <c r="M50" i="6"/>
  <c r="N46" i="6"/>
  <c r="M46" i="6"/>
  <c r="N34" i="6"/>
  <c r="M34" i="6"/>
  <c r="M39" i="6"/>
  <c r="N39" i="6"/>
  <c r="N41" i="6"/>
  <c r="M41" i="6"/>
  <c r="M35" i="6"/>
  <c r="N35" i="6"/>
  <c r="M40" i="6"/>
  <c r="N40" i="6"/>
  <c r="N42" i="6"/>
  <c r="M42" i="6"/>
  <c r="G58" i="6"/>
  <c r="L33" i="6"/>
  <c r="M56" i="6"/>
  <c r="N56" i="6"/>
  <c r="N54" i="6"/>
  <c r="M54" i="6"/>
  <c r="N53" i="6"/>
  <c r="M53" i="6"/>
  <c r="N48" i="6"/>
  <c r="M48" i="6"/>
  <c r="M51" i="6"/>
  <c r="N51" i="6"/>
  <c r="M49" i="6"/>
  <c r="N49" i="6"/>
  <c r="N44" i="6"/>
  <c r="M44" i="6"/>
  <c r="M55" i="6"/>
  <c r="N55" i="6"/>
  <c r="N37" i="6"/>
  <c r="M37" i="6"/>
  <c r="N38" i="6"/>
  <c r="M38" i="6"/>
  <c r="G24" i="5"/>
  <c r="F24" i="5"/>
  <c r="F30" i="5"/>
  <c r="G30" i="5"/>
  <c r="G28" i="5"/>
  <c r="F28" i="5"/>
  <c r="F22" i="5"/>
  <c r="G22" i="5"/>
  <c r="G31" i="5"/>
  <c r="F31" i="5"/>
  <c r="G32" i="5"/>
  <c r="F32" i="5"/>
  <c r="F34" i="5"/>
  <c r="G34" i="5"/>
  <c r="G20" i="5"/>
  <c r="F20" i="5"/>
  <c r="G23" i="5"/>
  <c r="F23" i="5"/>
  <c r="L13" i="3"/>
  <c r="L38" i="3" s="1"/>
  <c r="G7" i="1" s="1"/>
  <c r="M13" i="3"/>
  <c r="M38" i="3" s="1"/>
  <c r="H7" i="1" s="1"/>
  <c r="H8" i="1" l="1"/>
  <c r="D8" i="1"/>
  <c r="G43" i="5"/>
  <c r="H18" i="1" s="1"/>
  <c r="D18" i="1" s="1"/>
  <c r="C7" i="1"/>
  <c r="C8" i="1" s="1"/>
  <c r="G8" i="1"/>
  <c r="F43" i="5"/>
  <c r="G18" i="1" s="1"/>
  <c r="C18" i="1" s="1"/>
  <c r="S25" i="14"/>
  <c r="F28" i="14"/>
  <c r="E28" i="14"/>
  <c r="D29" i="14"/>
  <c r="M27" i="14"/>
  <c r="P27" i="14"/>
  <c r="Q27" i="14"/>
  <c r="L27" i="14"/>
  <c r="B11" i="8"/>
  <c r="D10" i="8"/>
  <c r="K13" i="8"/>
  <c r="K8" i="8"/>
  <c r="K6" i="8"/>
  <c r="K14" i="8"/>
  <c r="M7" i="8"/>
  <c r="L7" i="8"/>
  <c r="C38" i="7"/>
  <c r="B39" i="7"/>
  <c r="E37" i="7"/>
  <c r="D37" i="7"/>
  <c r="M33" i="6"/>
  <c r="M58" i="6" s="1"/>
  <c r="G12" i="1" s="1"/>
  <c r="L58" i="6"/>
  <c r="N33" i="6"/>
  <c r="N58" i="6" s="1"/>
  <c r="H12" i="1" s="1"/>
  <c r="C12" i="1" l="1"/>
  <c r="C13" i="1" s="1"/>
  <c r="G13" i="1"/>
  <c r="D12" i="1"/>
  <c r="D13" i="1" s="1"/>
  <c r="H13" i="1"/>
  <c r="D30" i="14"/>
  <c r="S27" i="14"/>
  <c r="Q28" i="14"/>
  <c r="M28" i="14"/>
  <c r="L28" i="14"/>
  <c r="P28" i="14"/>
  <c r="F29" i="14"/>
  <c r="E29" i="14"/>
  <c r="T25" i="14"/>
  <c r="U25" i="14"/>
  <c r="D11" i="8"/>
  <c r="B12" i="8"/>
  <c r="D12" i="8" s="1"/>
  <c r="K9" i="8"/>
  <c r="K15" i="8"/>
  <c r="M6" i="8"/>
  <c r="L6" i="8"/>
  <c r="L13" i="8"/>
  <c r="M13" i="8"/>
  <c r="M14" i="8"/>
  <c r="L14" i="8"/>
  <c r="M8" i="8"/>
  <c r="L8" i="8"/>
  <c r="E38" i="7"/>
  <c r="D38" i="7"/>
  <c r="C39" i="7"/>
  <c r="B40" i="7"/>
  <c r="U27" i="14" l="1"/>
  <c r="T27" i="14"/>
  <c r="E30" i="14"/>
  <c r="F30" i="14"/>
  <c r="M29" i="14"/>
  <c r="S29" i="14" s="1"/>
  <c r="L29" i="14"/>
  <c r="P29" i="14"/>
  <c r="Q29" i="14"/>
  <c r="S28" i="14"/>
  <c r="D31" i="14"/>
  <c r="K10" i="8"/>
  <c r="M9" i="8"/>
  <c r="L9" i="8"/>
  <c r="L15" i="8"/>
  <c r="M15" i="8"/>
  <c r="C40" i="7"/>
  <c r="B41" i="7"/>
  <c r="E39" i="7"/>
  <c r="D39" i="7"/>
  <c r="Q30" i="14" l="1"/>
  <c r="P30" i="14"/>
  <c r="M30" i="14"/>
  <c r="L30" i="14"/>
  <c r="D32" i="14"/>
  <c r="E31" i="14"/>
  <c r="F31" i="14"/>
  <c r="U28" i="14"/>
  <c r="T28" i="14"/>
  <c r="T29" i="14"/>
  <c r="U29" i="14"/>
  <c r="K12" i="8"/>
  <c r="K17" i="8"/>
  <c r="K11" i="8"/>
  <c r="M10" i="8"/>
  <c r="L10" i="8"/>
  <c r="K16" i="8"/>
  <c r="C41" i="7"/>
  <c r="B42" i="7"/>
  <c r="E40" i="7"/>
  <c r="D40" i="7"/>
  <c r="S30" i="14" l="1"/>
  <c r="E32" i="14"/>
  <c r="F32" i="14"/>
  <c r="M31" i="14"/>
  <c r="S31" i="14" s="1"/>
  <c r="Q31" i="14"/>
  <c r="L31" i="14"/>
  <c r="P31" i="14"/>
  <c r="D33" i="14"/>
  <c r="M16" i="8"/>
  <c r="L16" i="8"/>
  <c r="M11" i="8"/>
  <c r="L11" i="8"/>
  <c r="K18" i="8"/>
  <c r="M12" i="8"/>
  <c r="L12" i="8"/>
  <c r="L17" i="8"/>
  <c r="M17" i="8"/>
  <c r="C42" i="7"/>
  <c r="B43" i="7"/>
  <c r="E41" i="7"/>
  <c r="D34" i="14" l="1"/>
  <c r="T31" i="14"/>
  <c r="U31" i="14"/>
  <c r="Q32" i="14"/>
  <c r="P32" i="14"/>
  <c r="L32" i="14"/>
  <c r="M32" i="14"/>
  <c r="F33" i="14"/>
  <c r="E33" i="14"/>
  <c r="U30" i="14"/>
  <c r="T30" i="14"/>
  <c r="M18" i="8"/>
  <c r="L18" i="8"/>
  <c r="C43" i="7"/>
  <c r="B44" i="7"/>
  <c r="E42" i="7"/>
  <c r="D42" i="7"/>
  <c r="S32" i="14" l="1"/>
  <c r="D35" i="14"/>
  <c r="M33" i="14"/>
  <c r="P33" i="14"/>
  <c r="Q33" i="14"/>
  <c r="L33" i="14"/>
  <c r="F34" i="14"/>
  <c r="E34" i="14"/>
  <c r="K20" i="8"/>
  <c r="K19" i="8"/>
  <c r="C44" i="7"/>
  <c r="B45" i="7"/>
  <c r="E43" i="7"/>
  <c r="D43" i="7"/>
  <c r="Q34" i="14" l="1"/>
  <c r="L34" i="14"/>
  <c r="M34" i="14"/>
  <c r="S34" i="14" s="1"/>
  <c r="P34" i="14"/>
  <c r="S33" i="14"/>
  <c r="F35" i="14"/>
  <c r="E35" i="14"/>
  <c r="D36" i="14"/>
  <c r="U32" i="14"/>
  <c r="T32" i="14"/>
  <c r="L19" i="8"/>
  <c r="M19" i="8"/>
  <c r="K21" i="8"/>
  <c r="M20" i="8"/>
  <c r="L20" i="8"/>
  <c r="C45" i="7"/>
  <c r="B46" i="7"/>
  <c r="E44" i="7"/>
  <c r="D44" i="7"/>
  <c r="D37" i="14" l="1"/>
  <c r="B17" i="14"/>
  <c r="B20" i="14" s="1"/>
  <c r="U34" i="14"/>
  <c r="T34" i="14"/>
  <c r="P35" i="14"/>
  <c r="M35" i="14"/>
  <c r="S35" i="14" s="1"/>
  <c r="L35" i="14"/>
  <c r="Q35" i="14"/>
  <c r="E36" i="14"/>
  <c r="F36" i="14"/>
  <c r="U33" i="14"/>
  <c r="T33" i="14"/>
  <c r="K22" i="8"/>
  <c r="L21" i="8"/>
  <c r="M21" i="8"/>
  <c r="C46" i="7"/>
  <c r="B47" i="7"/>
  <c r="E45" i="7"/>
  <c r="D45" i="7"/>
  <c r="D38" i="14" l="1"/>
  <c r="T35" i="14"/>
  <c r="U35" i="14"/>
  <c r="M36" i="14"/>
  <c r="S36" i="14" s="1"/>
  <c r="Q36" i="14"/>
  <c r="L36" i="14"/>
  <c r="P36" i="14"/>
  <c r="K55" i="14"/>
  <c r="S53" i="14"/>
  <c r="K51" i="14"/>
  <c r="S49" i="14"/>
  <c r="K47" i="14"/>
  <c r="S56" i="14"/>
  <c r="K54" i="14"/>
  <c r="S52" i="14"/>
  <c r="K50" i="14"/>
  <c r="S48" i="14"/>
  <c r="K46" i="14"/>
  <c r="S44" i="14"/>
  <c r="K42" i="14"/>
  <c r="S40" i="14"/>
  <c r="K38" i="14"/>
  <c r="S55" i="14"/>
  <c r="K53" i="14"/>
  <c r="S51" i="14"/>
  <c r="K49" i="14"/>
  <c r="S47" i="14"/>
  <c r="K45" i="14"/>
  <c r="S43" i="14"/>
  <c r="K41" i="14"/>
  <c r="S39" i="14"/>
  <c r="K37" i="14"/>
  <c r="S50" i="14"/>
  <c r="K48" i="14"/>
  <c r="S42" i="14"/>
  <c r="K40" i="14"/>
  <c r="S41" i="14"/>
  <c r="S45" i="14"/>
  <c r="K43" i="14"/>
  <c r="S37" i="14"/>
  <c r="K56" i="14"/>
  <c r="S46" i="14"/>
  <c r="K44" i="14"/>
  <c r="S38" i="14"/>
  <c r="S54" i="14"/>
  <c r="K52" i="14"/>
  <c r="K39" i="14"/>
  <c r="F37" i="14"/>
  <c r="E37" i="14"/>
  <c r="K23" i="8"/>
  <c r="M22" i="8"/>
  <c r="L22" i="8"/>
  <c r="E46" i="7"/>
  <c r="D46" i="7"/>
  <c r="C47" i="7"/>
  <c r="B48" i="7"/>
  <c r="S57" i="14" l="1"/>
  <c r="U37" i="14"/>
  <c r="T37" i="14"/>
  <c r="O37" i="14"/>
  <c r="L37" i="14"/>
  <c r="M37" i="14"/>
  <c r="K57" i="14"/>
  <c r="M53" i="14"/>
  <c r="L53" i="14"/>
  <c r="L50" i="14"/>
  <c r="M50" i="14"/>
  <c r="M47" i="14"/>
  <c r="L47" i="14"/>
  <c r="M39" i="14"/>
  <c r="L39" i="14"/>
  <c r="M44" i="14"/>
  <c r="L44" i="14"/>
  <c r="M43" i="14"/>
  <c r="L43" i="14"/>
  <c r="U42" i="14"/>
  <c r="T42" i="14"/>
  <c r="O42" i="14"/>
  <c r="T39" i="14"/>
  <c r="O39" i="14"/>
  <c r="U39" i="14"/>
  <c r="U47" i="14"/>
  <c r="T47" i="14"/>
  <c r="O47" i="14"/>
  <c r="U55" i="14"/>
  <c r="T55" i="14"/>
  <c r="O55" i="14"/>
  <c r="T44" i="14"/>
  <c r="O44" i="14"/>
  <c r="U44" i="14"/>
  <c r="T52" i="14"/>
  <c r="O52" i="14"/>
  <c r="U52" i="14"/>
  <c r="U49" i="14"/>
  <c r="O49" i="14"/>
  <c r="T49" i="14"/>
  <c r="M52" i="14"/>
  <c r="L52" i="14"/>
  <c r="U45" i="14"/>
  <c r="T45" i="14"/>
  <c r="O45" i="14"/>
  <c r="M48" i="14"/>
  <c r="L48" i="14"/>
  <c r="L41" i="14"/>
  <c r="M41" i="14"/>
  <c r="M49" i="14"/>
  <c r="L49" i="14"/>
  <c r="M38" i="14"/>
  <c r="L38" i="14"/>
  <c r="M46" i="14"/>
  <c r="L46" i="14"/>
  <c r="L54" i="14"/>
  <c r="M54" i="14"/>
  <c r="M51" i="14"/>
  <c r="L51" i="14"/>
  <c r="U46" i="14"/>
  <c r="T46" i="14"/>
  <c r="O46" i="14"/>
  <c r="U54" i="14"/>
  <c r="T54" i="14"/>
  <c r="O54" i="14"/>
  <c r="M56" i="14"/>
  <c r="L56" i="14"/>
  <c r="U41" i="14"/>
  <c r="O41" i="14"/>
  <c r="T41" i="14"/>
  <c r="U50" i="14"/>
  <c r="T50" i="14"/>
  <c r="O50" i="14"/>
  <c r="T43" i="14"/>
  <c r="O43" i="14"/>
  <c r="U43" i="14"/>
  <c r="U51" i="14"/>
  <c r="T51" i="14"/>
  <c r="O51" i="14"/>
  <c r="U40" i="14"/>
  <c r="O40" i="14"/>
  <c r="T40" i="14"/>
  <c r="T48" i="14"/>
  <c r="O48" i="14"/>
  <c r="U48" i="14"/>
  <c r="T56" i="14"/>
  <c r="O56" i="14"/>
  <c r="U56" i="14"/>
  <c r="U53" i="14"/>
  <c r="O53" i="14"/>
  <c r="T53" i="14"/>
  <c r="F38" i="14"/>
  <c r="E38" i="14"/>
  <c r="U38" i="14"/>
  <c r="T38" i="14"/>
  <c r="O38" i="14"/>
  <c r="M40" i="14"/>
  <c r="L40" i="14"/>
  <c r="L45" i="14"/>
  <c r="M45" i="14"/>
  <c r="M42" i="14"/>
  <c r="L42" i="14"/>
  <c r="M55" i="14"/>
  <c r="L55" i="14"/>
  <c r="T36" i="14"/>
  <c r="U36" i="14"/>
  <c r="D39" i="14"/>
  <c r="K24" i="8"/>
  <c r="L23" i="8"/>
  <c r="M23" i="8"/>
  <c r="C48" i="7"/>
  <c r="B49" i="7"/>
  <c r="E47" i="7"/>
  <c r="D47" i="7"/>
  <c r="Q53" i="14" l="1"/>
  <c r="P53" i="14"/>
  <c r="Q49" i="14"/>
  <c r="P49" i="14"/>
  <c r="P55" i="14"/>
  <c r="Q55" i="14"/>
  <c r="T57" i="14"/>
  <c r="Q40" i="14"/>
  <c r="P40" i="14"/>
  <c r="Q50" i="14"/>
  <c r="P50" i="14"/>
  <c r="Q41" i="14"/>
  <c r="P41" i="14"/>
  <c r="Q54" i="14"/>
  <c r="P54" i="14"/>
  <c r="P46" i="14"/>
  <c r="Q46" i="14"/>
  <c r="P42" i="14"/>
  <c r="Q42" i="14"/>
  <c r="M57" i="14"/>
  <c r="U57" i="14"/>
  <c r="P38" i="14"/>
  <c r="Q38" i="14"/>
  <c r="Q48" i="14"/>
  <c r="P48" i="14"/>
  <c r="Q45" i="14"/>
  <c r="P45" i="14"/>
  <c r="Q44" i="14"/>
  <c r="P44" i="14"/>
  <c r="L57" i="14"/>
  <c r="D40" i="14"/>
  <c r="F39" i="14"/>
  <c r="E39" i="14"/>
  <c r="Q56" i="14"/>
  <c r="P56" i="14"/>
  <c r="P51" i="14"/>
  <c r="Q51" i="14"/>
  <c r="P43" i="14"/>
  <c r="Q43" i="14"/>
  <c r="Q52" i="14"/>
  <c r="P52" i="14"/>
  <c r="P47" i="14"/>
  <c r="Q47" i="14"/>
  <c r="Q39" i="14"/>
  <c r="P39" i="14"/>
  <c r="O57" i="14"/>
  <c r="Q37" i="14"/>
  <c r="P37" i="14"/>
  <c r="K25" i="8"/>
  <c r="M24" i="8"/>
  <c r="L24" i="8"/>
  <c r="C49" i="7"/>
  <c r="B50" i="7"/>
  <c r="E48" i="7"/>
  <c r="D48" i="7"/>
  <c r="Q57" i="14" l="1"/>
  <c r="P57" i="14"/>
  <c r="E40" i="14"/>
  <c r="F40" i="14"/>
  <c r="D41" i="14"/>
  <c r="L25" i="8"/>
  <c r="M25" i="8"/>
  <c r="E49" i="7"/>
  <c r="D49" i="7"/>
  <c r="C50" i="7"/>
  <c r="B51" i="7"/>
  <c r="F41" i="14" l="1"/>
  <c r="E41" i="14"/>
  <c r="D42" i="14"/>
  <c r="K27" i="8"/>
  <c r="K26" i="8"/>
  <c r="C51" i="7"/>
  <c r="B52" i="7"/>
  <c r="E50" i="7"/>
  <c r="D50" i="7"/>
  <c r="F42" i="14" l="1"/>
  <c r="E42" i="14"/>
  <c r="D43" i="14"/>
  <c r="M26" i="8"/>
  <c r="L26" i="8"/>
  <c r="L27" i="8"/>
  <c r="M27" i="8"/>
  <c r="C52" i="7"/>
  <c r="B53" i="7"/>
  <c r="E51" i="7"/>
  <c r="D51" i="7"/>
  <c r="D44" i="14" l="1"/>
  <c r="F43" i="14"/>
  <c r="E43" i="14"/>
  <c r="K28" i="8"/>
  <c r="K29" i="8"/>
  <c r="E52" i="7"/>
  <c r="D52" i="7"/>
  <c r="C53" i="7"/>
  <c r="B54" i="7"/>
  <c r="E44" i="14" l="1"/>
  <c r="F44" i="14"/>
  <c r="D45" i="14"/>
  <c r="L29" i="8"/>
  <c r="M29" i="8"/>
  <c r="M28" i="8"/>
  <c r="L28" i="8"/>
  <c r="C54" i="7"/>
  <c r="B55" i="7"/>
  <c r="B60" i="7"/>
  <c r="E53" i="7"/>
  <c r="D53" i="7"/>
  <c r="F45" i="14" l="1"/>
  <c r="E45" i="14"/>
  <c r="D46" i="14"/>
  <c r="G38" i="8"/>
  <c r="F38" i="8"/>
  <c r="K31" i="8"/>
  <c r="K30" i="8"/>
  <c r="C55" i="7"/>
  <c r="B56" i="7"/>
  <c r="E54" i="7"/>
  <c r="E60" i="7" s="1"/>
  <c r="H15" i="1" s="1"/>
  <c r="D54" i="7"/>
  <c r="D60" i="7" s="1"/>
  <c r="G15" i="1" s="1"/>
  <c r="C60" i="7"/>
  <c r="C15" i="1" l="1"/>
  <c r="D15" i="1"/>
  <c r="D47" i="14"/>
  <c r="F46" i="14"/>
  <c r="E46" i="14"/>
  <c r="M30" i="8"/>
  <c r="L30" i="8"/>
  <c r="J38" i="8"/>
  <c r="H38" i="8"/>
  <c r="L31" i="8"/>
  <c r="M31" i="8"/>
  <c r="E55" i="7"/>
  <c r="D55" i="7"/>
  <c r="C56" i="7"/>
  <c r="B57" i="7"/>
  <c r="D48" i="14" l="1"/>
  <c r="F47" i="14"/>
  <c r="E47" i="14"/>
  <c r="K32" i="8"/>
  <c r="I38" i="8"/>
  <c r="C57" i="7"/>
  <c r="B58" i="7"/>
  <c r="E56" i="7"/>
  <c r="D56" i="7"/>
  <c r="F48" i="14" l="1"/>
  <c r="E48" i="14"/>
  <c r="D49" i="14"/>
  <c r="M32" i="8"/>
  <c r="M38" i="8" s="1"/>
  <c r="H17" i="1" s="1"/>
  <c r="L32" i="8"/>
  <c r="L38" i="8" s="1"/>
  <c r="G17" i="1" s="1"/>
  <c r="C17" i="1" s="1"/>
  <c r="C19" i="1" s="1"/>
  <c r="C24" i="1" s="1"/>
  <c r="K38" i="8"/>
  <c r="K33" i="8"/>
  <c r="C58" i="7"/>
  <c r="B59" i="7"/>
  <c r="C59" i="7" s="1"/>
  <c r="E57" i="7"/>
  <c r="D57" i="7"/>
  <c r="D17" i="1" l="1"/>
  <c r="D19" i="1" s="1"/>
  <c r="D24" i="1" s="1"/>
  <c r="H19" i="1"/>
  <c r="H24" i="1" s="1"/>
  <c r="C27" i="1"/>
  <c r="C26" i="1"/>
  <c r="D50" i="14"/>
  <c r="E49" i="14"/>
  <c r="F49" i="14"/>
  <c r="M33" i="8"/>
  <c r="L33" i="8"/>
  <c r="K34" i="8"/>
  <c r="E59" i="7"/>
  <c r="D59" i="7"/>
  <c r="E58" i="7"/>
  <c r="D58" i="7"/>
  <c r="H26" i="1" l="1"/>
  <c r="H27" i="1"/>
  <c r="D27" i="1"/>
  <c r="D26" i="1"/>
  <c r="F50" i="14"/>
  <c r="F57" i="14" s="1"/>
  <c r="E50" i="14"/>
  <c r="E57" i="14" s="1"/>
  <c r="G19" i="1" s="1"/>
  <c r="G24" i="1" s="1"/>
  <c r="D57" i="14"/>
  <c r="D51" i="14"/>
  <c r="M34" i="8"/>
  <c r="L34" i="8"/>
  <c r="K35" i="8"/>
  <c r="G27" i="1" l="1"/>
  <c r="G26" i="1"/>
  <c r="D52" i="14"/>
  <c r="F51" i="14"/>
  <c r="E51" i="14"/>
  <c r="K36" i="8"/>
  <c r="M35" i="8"/>
  <c r="L35" i="8"/>
  <c r="K37" i="8"/>
  <c r="F52" i="14" l="1"/>
  <c r="E52" i="14"/>
  <c r="D53" i="14"/>
  <c r="M37" i="8"/>
  <c r="L37" i="8"/>
  <c r="M36" i="8"/>
  <c r="L36" i="8"/>
  <c r="E53" i="14" l="1"/>
  <c r="F53" i="14"/>
  <c r="D54" i="14"/>
  <c r="F54" i="14" l="1"/>
  <c r="E54" i="14"/>
  <c r="D56" i="14"/>
  <c r="D55" i="14"/>
  <c r="F56" i="14" l="1"/>
  <c r="E56" i="14"/>
  <c r="F55" i="14"/>
  <c r="E55" i="14"/>
</calcChain>
</file>

<file path=xl/sharedStrings.xml><?xml version="1.0" encoding="utf-8"?>
<sst xmlns="http://schemas.openxmlformats.org/spreadsheetml/2006/main" count="741" uniqueCount="499">
  <si>
    <t xml:space="preserve"> </t>
  </si>
  <si>
    <t>Table 10.1—GROSS DOMESTIC PRODUCT AND DEFLATORS USED IN THE HISTORICAL TABLES: 1940–2022</t>
  </si>
  <si>
    <t>(Fiscal Year 2009 = 1.000)</t>
  </si>
  <si>
    <t>Fiscal Year</t>
  </si>
  <si>
    <t>GDP (in billions of dollars)</t>
  </si>
  <si>
    <t>GDP (Chained) Price Index</t>
  </si>
  <si>
    <t>Composite Outlay Deflators</t>
  </si>
  <si>
    <t>Total</t>
  </si>
  <si>
    <t>Total Defense</t>
  </si>
  <si>
    <t>Total Non- defense</t>
  </si>
  <si>
    <t>Payment for Individuals</t>
  </si>
  <si>
    <t>Other Grants</t>
  </si>
  <si>
    <t>Net Interest</t>
  </si>
  <si>
    <t>Undis- tributed Offsetting Receipts</t>
  </si>
  <si>
    <t>All Other</t>
  </si>
  <si>
    <t>Addendum: Direct Capital</t>
  </si>
  <si>
    <t>Direct</t>
  </si>
  <si>
    <t>Grants</t>
  </si>
  <si>
    <t>Defense</t>
  </si>
  <si>
    <t>Non- defense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</si>
  <si>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</si>
  <si>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</si>
  <si>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</si>
  <si>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</si>
  <si>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</si>
  <si>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</si>
  <si>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</si>
  <si>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</si>
  <si>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</si>
  <si>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</si>
  <si>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</si>
  <si>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</si>
  <si>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</si>
  <si>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</si>
  <si>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</si>
  <si>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</si>
  <si>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</si>
  <si>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</si>
  <si>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</si>
  <si>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</si>
  <si>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</si>
  <si>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</si>
  <si>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</si>
  <si>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</si>
  <si>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</si>
  <si>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</si>
  <si>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</si>
  <si>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</si>
  <si>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</si>
  <si>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</si>
  <si>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</si>
  <si>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</si>
  <si>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</si>
  <si>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</si>
  <si>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</si>
  <si>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</si>
  <si>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</si>
  <si>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</si>
  <si>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</si>
  <si>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</si>
  <si>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</si>
  <si>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</si>
  <si>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</si>
  <si>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</si>
  <si>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</si>
  <si>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</si>
  <si>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</si>
  <si>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</si>
  <si>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</si>
  <si>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</si>
  <si>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</si>
  <si>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</si>
  <si>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</si>
  <si>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</si>
  <si>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</si>
  <si>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</si>
  <si>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</si>
  <si>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</si>
  <si>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</si>
  <si>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</si>
  <si>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</si>
  <si>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</si>
  <si>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</si>
  <si>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</si>
  <si>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</si>
  <si>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</si>
  <si>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</si>
  <si>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</si>
  <si>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</si>
  <si>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</si>
  <si>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</si>
  <si>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</si>
  <si>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</si>
  <si>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</si>
  <si>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</si>
  <si>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</si>
  <si>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</si>
  <si>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</si>
  <si>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 estimate</t>
  </si>
  <si>
    <t>2018 estimate</t>
  </si>
  <si>
    <t>2019 estimate</t>
  </si>
  <si>
    <t>2020 estimate</t>
  </si>
  <si>
    <t>2021 estimate</t>
  </si>
  <si>
    <t>2022 estimate</t>
  </si>
  <si>
    <t>Note: Constant dollar research and development outlays are based on the GDP (chained) price index.</t>
  </si>
  <si>
    <t>Downloaded 9/7/17</t>
  </si>
  <si>
    <t>Projected Population Change in North Carolina Counties:  2020-2030</t>
  </si>
  <si>
    <t/>
  </si>
  <si>
    <t>Total Population</t>
  </si>
  <si>
    <t>Population Change</t>
  </si>
  <si>
    <t>Components of Change</t>
  </si>
  <si>
    <t>County</t>
  </si>
  <si>
    <t>July 2020 Projection</t>
  </si>
  <si>
    <t>July 2030 Projection</t>
  </si>
  <si>
    <t>Numeric</t>
  </si>
  <si>
    <t>Percent</t>
  </si>
  <si>
    <t>Births</t>
  </si>
  <si>
    <t>Deaths</t>
  </si>
  <si>
    <t>Natural Increase</t>
  </si>
  <si>
    <t>Net Migration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</si>
  <si>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</si>
  <si>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</si>
  <si>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</si>
  <si>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</si>
  <si>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</si>
  <si>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</si>
  <si>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</si>
  <si>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</si>
  <si>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</si>
  <si>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</si>
  <si>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</si>
  <si>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</si>
  <si>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</si>
  <si>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</si>
  <si>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</si>
  <si>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</si>
  <si>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</si>
  <si>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</si>
  <si>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</si>
  <si>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</si>
  <si>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</si>
  <si>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</si>
  <si>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</si>
  <si>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</si>
  <si>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</si>
  <si>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</si>
  <si>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</si>
  <si>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</si>
  <si>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</si>
  <si>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</si>
  <si>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</si>
  <si>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</si>
  <si>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</si>
  <si>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</si>
  <si>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</si>
  <si>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</si>
  <si>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</si>
  <si>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</si>
  <si>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</si>
  <si>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</si>
  <si>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</si>
  <si>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</si>
  <si>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</si>
  <si>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</si>
  <si>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</si>
  <si>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</si>
  <si>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</si>
  <si>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</si>
  <si>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</si>
  <si>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</si>
  <si>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</si>
  <si>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</si>
  <si>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</si>
  <si>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</si>
  <si>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</si>
  <si>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</si>
  <si>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</si>
  <si>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</si>
  <si>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</si>
  <si>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</si>
  <si>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</si>
  <si>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</si>
  <si>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</si>
  <si>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</si>
  <si>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</si>
  <si>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</si>
  <si>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</si>
  <si>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</si>
  <si>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</si>
  <si>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</si>
  <si>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</si>
  <si>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</si>
  <si>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</si>
  <si>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</si>
  <si>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</si>
  <si>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</si>
  <si>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</si>
  <si>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</si>
  <si>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</si>
  <si>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</si>
  <si>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</si>
  <si>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</si>
  <si>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</si>
  <si>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</si>
  <si>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</si>
  <si>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</si>
  <si>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</si>
  <si>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</si>
  <si>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</si>
  <si>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</si>
  <si>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</si>
  <si>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</si>
  <si>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</si>
  <si>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</si>
  <si>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</si>
  <si>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</si>
  <si>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</si>
  <si>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</si>
  <si>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</si>
  <si>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</si>
  <si>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</t>
  </si>
  <si>
    <t>Source: North Carolina OSBM, Standard Population Estimates, Vintage 2016 and Population Projections, Vintage 2017.</t>
  </si>
  <si>
    <t>Projected Population Change in North Carolina Counties: 2030-2037</t>
  </si>
  <si>
    <t>Open as Excel File</t>
  </si>
  <si>
    <t>July 2037 Projection</t>
  </si>
  <si>
    <t>Input</t>
  </si>
  <si>
    <t xml:space="preserve">Value </t>
  </si>
  <si>
    <t xml:space="preserve">Source </t>
  </si>
  <si>
    <t>General</t>
  </si>
  <si>
    <t xml:space="preserve">Discount Rate </t>
  </si>
  <si>
    <t xml:space="preserve">2017 TIGER BCA Resource Guide </t>
  </si>
  <si>
    <t>Auto Occupancy</t>
  </si>
  <si>
    <t>2017 TIGER BCA Resource Guide, FHWA Statistics 2015, Table VM1</t>
  </si>
  <si>
    <t>Annualization Factor</t>
  </si>
  <si>
    <t>Assumption</t>
  </si>
  <si>
    <t>Speed Limit on I-85</t>
  </si>
  <si>
    <t>Actually Average of 65mph and 70mph</t>
  </si>
  <si>
    <t>Annual O&amp;M Fiber</t>
  </si>
  <si>
    <t>INFRA 2017 value</t>
  </si>
  <si>
    <t>Annual O&amp;M ITS</t>
  </si>
  <si>
    <t>INFRA 2017 value was $100,000; assumed a higher value to be conservative</t>
  </si>
  <si>
    <t>40% of Average 2016 AADT in the most urban counties on the route</t>
  </si>
  <si>
    <t>https://connect.ncdot.gov/resources/State-Mapping/Documents/NCDOT2016InterstateFreewayReport.pdf</t>
  </si>
  <si>
    <t>Truck share I-85</t>
  </si>
  <si>
    <t>Statewide Travel Demand Model</t>
  </si>
  <si>
    <t>I-85 annual AADT growth</t>
  </si>
  <si>
    <t>NCDOT, values for the entire corridor ranged from 3.4% to 4.2%; used lower figure</t>
  </si>
  <si>
    <t>HARNETT</t>
  </si>
  <si>
    <t>I-95</t>
  </si>
  <si>
    <t>FROM EXIT 75 TO EXIT 77</t>
  </si>
  <si>
    <t>Economic Vitality</t>
  </si>
  <si>
    <t>Value of Personal Time, 2016$</t>
  </si>
  <si>
    <t>Value of Business Time, 2016$</t>
  </si>
  <si>
    <t>Value of Time All Purposes, 2016$</t>
  </si>
  <si>
    <t>Value of Time Truck, 2016$</t>
  </si>
  <si>
    <t>Value of Personal Time, 2017$</t>
  </si>
  <si>
    <t>2017 TIGER BCA Resource Guide, Adjusted by GDP Deflator</t>
  </si>
  <si>
    <t>Value of Business Time, 2017$</t>
  </si>
  <si>
    <t>Value of Time All Purposes, 2017$</t>
  </si>
  <si>
    <t>Value of Time Truck, 2017$</t>
  </si>
  <si>
    <t>Average Trip Length on I-85</t>
  </si>
  <si>
    <t>Assumption; reduced from 45 min. value in INFRA 2017 application</t>
  </si>
  <si>
    <t xml:space="preserve">Reliability savings </t>
  </si>
  <si>
    <t>Assumption based on range of results found https://ntl.bts.gov/lib/54000/54300/54346/ICM_Modeling_Results_Report__FHWA-JPO-12-037_.pdf</t>
  </si>
  <si>
    <t>NCTA Fiber Savings (Per Month)</t>
  </si>
  <si>
    <t>NCTA Toll Integrator (TransCore)</t>
  </si>
  <si>
    <t>DOT Fiber Savings (Per Month)</t>
  </si>
  <si>
    <t xml:space="preserve">NCDOT IT </t>
  </si>
  <si>
    <t>Safety</t>
  </si>
  <si>
    <t>AIS 0 (2016$) per vehicle</t>
  </si>
  <si>
    <t>AIS 1 (2016$)</t>
  </si>
  <si>
    <t>AIS 2(2016$)</t>
  </si>
  <si>
    <t>AIS 3(2016$)</t>
  </si>
  <si>
    <t>AIS 4(2016$)</t>
  </si>
  <si>
    <t>AIS 5(2016$)</t>
  </si>
  <si>
    <t>AIS 6(2016$)</t>
  </si>
  <si>
    <t>AIS 0 (2017$) per vehicle</t>
  </si>
  <si>
    <t>AIS 1 (2017$)</t>
  </si>
  <si>
    <t>AIS 2 (2017$)</t>
  </si>
  <si>
    <t>AIS 3 (2017$)</t>
  </si>
  <si>
    <t>AIS 4 (2017$)</t>
  </si>
  <si>
    <t>AIS 5 (2017$)</t>
  </si>
  <si>
    <t>AIS 6 (2017$)</t>
  </si>
  <si>
    <t>C - possible injury (2016$)</t>
  </si>
  <si>
    <t>B - non-incapacitating injury (2016$)</t>
  </si>
  <si>
    <t>A - incapacitating (2016$)</t>
  </si>
  <si>
    <t>K - killed (2016$)</t>
  </si>
  <si>
    <t>C - possible injury (2017$)</t>
  </si>
  <si>
    <t>B - non-incapacitating injury (2017$)</t>
  </si>
  <si>
    <t>A - incapacitating (2017$)</t>
  </si>
  <si>
    <t>K - killed (2017$)</t>
  </si>
  <si>
    <t>*</t>
  </si>
  <si>
    <t>Capital Cost</t>
  </si>
  <si>
    <t>Item</t>
  </si>
  <si>
    <t>Cost per site/mile</t>
  </si>
  <si>
    <t>Quantity</t>
  </si>
  <si>
    <t>Unit</t>
  </si>
  <si>
    <t>Construction</t>
  </si>
  <si>
    <t>Subtotal</t>
  </si>
  <si>
    <t>FINAL SCENARIO</t>
  </si>
  <si>
    <t>Benefits</t>
  </si>
  <si>
    <t>Comments</t>
  </si>
  <si>
    <t>COMPONENT ONE:</t>
  </si>
  <si>
    <t>All New Fiber costs - DOT Level</t>
  </si>
  <si>
    <t>Segment 4:  Chapel Hill to Raleigh</t>
  </si>
  <si>
    <t>LS</t>
  </si>
  <si>
    <t>Q2 2022 - Q2 2023</t>
  </si>
  <si>
    <t>Cost from 2016 DOT numbers</t>
  </si>
  <si>
    <t>Segment 3:  Gboro to Burlington</t>
  </si>
  <si>
    <t>Segment 2: Lexington to Archdale</t>
  </si>
  <si>
    <t>Miles</t>
  </si>
  <si>
    <t>Q4 2021 - Q3 2022</t>
  </si>
  <si>
    <t>Unit cost from US 70/I-95 INFRA Grant</t>
  </si>
  <si>
    <t xml:space="preserve">Segment 1: NCTA I-485 Connection </t>
  </si>
  <si>
    <t>Subtotal:</t>
  </si>
  <si>
    <t>DOT Fiber Saving Tab</t>
  </si>
  <si>
    <t>All New Fiber costs - Enterprise Level</t>
  </si>
  <si>
    <t>Fiber Third Party Tab</t>
  </si>
  <si>
    <t>assume 1.8x DOT Level; only limited deployment (approx 30 miles)</t>
  </si>
  <si>
    <t>COMPONENT TWO:</t>
  </si>
  <si>
    <t>Wrong-Way Driver Detection &amp; Notification (WWDDN)</t>
  </si>
  <si>
    <t>Sites</t>
  </si>
  <si>
    <t>Reduced Vehicle Crashes Tab</t>
  </si>
  <si>
    <t>Cost from HNTB</t>
  </si>
  <si>
    <t>COMPONENT THREE:</t>
  </si>
  <si>
    <t>Dynamic Curve Warning Systems (DCWS)</t>
  </si>
  <si>
    <t>Integrated Corridor Mgmt (ICM)</t>
  </si>
  <si>
    <t>Reliability Benefit Tab</t>
  </si>
  <si>
    <t>Unit cost from US 70/I-95 INFRA Grant; sum the urban areas only (40%)</t>
  </si>
  <si>
    <t>Dedicated Short-Range Communications (DSRC)</t>
  </si>
  <si>
    <t>Qualitative Benefit</t>
  </si>
  <si>
    <t>COMPONENT FOUR:</t>
  </si>
  <si>
    <t>Video Analytics Cost</t>
  </si>
  <si>
    <t>Cost from SAS</t>
  </si>
  <si>
    <t>Camera Replacement</t>
  </si>
  <si>
    <t>Per</t>
  </si>
  <si>
    <t xml:space="preserve"> Cost and Qty from DOT estimates</t>
  </si>
  <si>
    <t>PROJECT TOTAL:</t>
  </si>
  <si>
    <t>SAY:</t>
  </si>
  <si>
    <t xml:space="preserve">Year </t>
  </si>
  <si>
    <t>ICM</t>
  </si>
  <si>
    <t>DSRC</t>
  </si>
  <si>
    <t>Total Capital Costs</t>
  </si>
  <si>
    <t>Discounted Capital Total (7%)</t>
  </si>
  <si>
    <t>Discounted Capital Total (3%)</t>
  </si>
  <si>
    <t>Fiber</t>
  </si>
  <si>
    <t>ITS</t>
  </si>
  <si>
    <t xml:space="preserve">O&amp;M Total </t>
  </si>
  <si>
    <t>Discounted O&amp;M Total (7%)</t>
  </si>
  <si>
    <t>Discounted O&amp;M Total (3%)</t>
  </si>
  <si>
    <t xml:space="preserve">Total </t>
  </si>
  <si>
    <t>Fiber Segments 1 and 2</t>
  </si>
  <si>
    <t>Fiber Segments 3 and 4</t>
  </si>
  <si>
    <t>Enterprise Fiber</t>
  </si>
  <si>
    <t>WWD</t>
  </si>
  <si>
    <t>DCWS</t>
  </si>
  <si>
    <t>Adv Analytics</t>
  </si>
  <si>
    <t>DOUBLED THE O&amp;M COSTS</t>
  </si>
  <si>
    <t>Year</t>
  </si>
  <si>
    <t>DOT Savings</t>
  </si>
  <si>
    <t>NCTA Savings</t>
  </si>
  <si>
    <t>Total Savings</t>
  </si>
  <si>
    <t>Discounted Fiber Savings</t>
  </si>
  <si>
    <t>Reduced Crashes</t>
  </si>
  <si>
    <t>KABCO-AIS Conversion Table, NHTSA July 2011</t>
  </si>
  <si>
    <t>Injured - Severity Unknown</t>
  </si>
  <si>
    <t>O - No injury</t>
  </si>
  <si>
    <t>Accidents by Type Per 100,000,000 VMT</t>
  </si>
  <si>
    <t>AIS 0</t>
  </si>
  <si>
    <t>Rate</t>
  </si>
  <si>
    <t>AIS 1</t>
  </si>
  <si>
    <t>Fatalities</t>
  </si>
  <si>
    <t>per 100,000,000 VMT</t>
  </si>
  <si>
    <t>AIS 2</t>
  </si>
  <si>
    <t>Injured persons</t>
  </si>
  <si>
    <t>AIS 3</t>
  </si>
  <si>
    <t>Crashes</t>
  </si>
  <si>
    <t>AIS 4</t>
  </si>
  <si>
    <t>Source: 2015 BTS Motor Vehicle Safety Data Table 2-17</t>
  </si>
  <si>
    <t>AIS 5</t>
  </si>
  <si>
    <t>http://www.rita.dot.gov/bts/sites/rita.dot.gov.bts/files/publications/national_transportation_statistics/html/table_02_17.html</t>
  </si>
  <si>
    <t>TIGER 2016 BCA Resource Guide:</t>
  </si>
  <si>
    <t>https://www.transportation.gov/sites/dot.gov/files/docs/BCA%20Resource%20Guide%202016.pdf</t>
  </si>
  <si>
    <t>Location</t>
  </si>
  <si>
    <t>Crash Reduction (Crashes/Year)</t>
  </si>
  <si>
    <t>Fatal</t>
  </si>
  <si>
    <t>Incapacitating Injury (A)</t>
  </si>
  <si>
    <t>Non-incapacitating Injury (B)</t>
  </si>
  <si>
    <t>Possible Injury (C)</t>
  </si>
  <si>
    <t>PDO</t>
  </si>
  <si>
    <t>WWD + DCWS</t>
  </si>
  <si>
    <t>Source: HNTB Safety Analysis</t>
  </si>
  <si>
    <t>Build</t>
  </si>
  <si>
    <t>Value Saved</t>
  </si>
  <si>
    <t>F</t>
  </si>
  <si>
    <t>A</t>
  </si>
  <si>
    <t>B</t>
  </si>
  <si>
    <t>C</t>
  </si>
  <si>
    <t>Discounted Crash Costs at 7%</t>
  </si>
  <si>
    <t>Discounted Crash Costs at 3%</t>
  </si>
  <si>
    <t>Willingness to Pay for Fiber</t>
  </si>
  <si>
    <t>WTP</t>
  </si>
  <si>
    <t>assumed per household to increase up to at least 4Mbps</t>
  </si>
  <si>
    <t>This value is from 2017 INFRA application BCA</t>
  </si>
  <si>
    <t>Assumed willing to pay once per year</t>
  </si>
  <si>
    <t>Assumed 50% of households are in urban areas and not WTP</t>
  </si>
  <si>
    <t>Includes only 2 most rural counties directly along I-85</t>
  </si>
  <si>
    <t>https://www.colorado.edu/economics/gradplacement/PetersonJMP.pdf</t>
  </si>
  <si>
    <t>Households 2010</t>
  </si>
  <si>
    <t>50% of Households</t>
  </si>
  <si>
    <t>Pop Growth 2020-2030</t>
  </si>
  <si>
    <t>Pop Growth 2030-2037</t>
  </si>
  <si>
    <t>ASSUME ONLY THE MOST RURAL COUNTIES GET A BENEFIT AND ONLY 50% of households in those counties are WTP</t>
  </si>
  <si>
    <t>TOO URBAN AND GROWING TO INCLUDE</t>
  </si>
  <si>
    <t>TOO SMALL TO INCLUDE</t>
  </si>
  <si>
    <t>Source:</t>
  </si>
  <si>
    <t>QT-P11</t>
  </si>
  <si>
    <t>NC Management and Budget</t>
  </si>
  <si>
    <t>Households and Families: 2010</t>
  </si>
  <si>
    <t>https://files.nc.gov/ncosbm/demog/countygrowth_cert_2016.html</t>
  </si>
  <si>
    <t>2010 Census Summary File 1</t>
  </si>
  <si>
    <t>I-85</t>
  </si>
  <si>
    <t>Households</t>
  </si>
  <si>
    <t>Reliability Benefit</t>
  </si>
  <si>
    <t>I-85 Reliability</t>
  </si>
  <si>
    <t>NB Average Trip Length 2040</t>
  </si>
  <si>
    <t>NB Average Trip Time (hours per trip)</t>
  </si>
  <si>
    <t>Reliability Time Saved</t>
  </si>
  <si>
    <t>Lowest Segment AADT</t>
  </si>
  <si>
    <t>Annual Time Saved</t>
  </si>
  <si>
    <t>Truck Time Saved</t>
  </si>
  <si>
    <t>Auto Time Saved</t>
  </si>
  <si>
    <t>VOT Truck</t>
  </si>
  <si>
    <t>VOT Auto</t>
  </si>
  <si>
    <t>Value of Time</t>
  </si>
  <si>
    <t>Discounted Travel Time Savings</t>
  </si>
  <si>
    <t>NCDOT 2019 BUILD</t>
  </si>
  <si>
    <t>Total Project</t>
  </si>
  <si>
    <t xml:space="preserve"> I-85/I-40 FAST</t>
  </si>
  <si>
    <t xml:space="preserve">20 Year Analysis Period (2023-2042) </t>
  </si>
  <si>
    <t>Values stated in 2019 $M</t>
  </si>
  <si>
    <t>Discounted at 7%</t>
  </si>
  <si>
    <t>Discounted at 3%</t>
  </si>
  <si>
    <t>Costs</t>
  </si>
  <si>
    <t>Capital Costs</t>
  </si>
  <si>
    <t>Total Costs</t>
  </si>
  <si>
    <t>Reduced Highway Fatalities and Crashes</t>
  </si>
  <si>
    <t>Sub-Total Safety Benefits</t>
  </si>
  <si>
    <t>Economic Competitiveness</t>
  </si>
  <si>
    <t>Fiber 3rd Party Leasing Benefits</t>
  </si>
  <si>
    <t>Autonomous Vehicles Benefit</t>
  </si>
  <si>
    <t>Reliability Savings from ICM</t>
  </si>
  <si>
    <t>NCDOT / NCTA Fiber Savings</t>
  </si>
  <si>
    <t>Sub-Total Economic Competitiveness</t>
  </si>
  <si>
    <t>O&amp;M Costs</t>
  </si>
  <si>
    <t>Net O&amp;M</t>
  </si>
  <si>
    <t>Total Benefits</t>
  </si>
  <si>
    <t>BC Ratio</t>
  </si>
  <si>
    <t>Net Present value</t>
  </si>
  <si>
    <t>"Autonomous Cars Self-Driving the New Auto Industry Paradigm", Morgan Stanley, November 6, 2013, pp48-52</t>
  </si>
  <si>
    <t>http://orfe.princeton.edu/~alaink/SmartDrivingCars/PDFs/Nov2013MORGAN-STANLEY-BLUE-PAPER-AUTONOMOUS-CARS%EF%BC%9A-SELF-DRIVING-THE-NEW-AUTO-INDUSTRY-PARADIGM.pdf</t>
  </si>
  <si>
    <t>Paper Assumptions</t>
  </si>
  <si>
    <t>V2V Costs</t>
  </si>
  <si>
    <t>2013$</t>
  </si>
  <si>
    <t>2017$</t>
  </si>
  <si>
    <t>Costs:</t>
  </si>
  <si>
    <t>Per car for ~half of the cars (near-term) (2013$)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</si>
  <si>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Assumed $10k per car for half of the cars in the near term</t>
    </r>
  </si>
  <si>
    <t>Per car for ~half of the cars (long-term) (2013$)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</si>
  <si>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Assumed $2k per car for half of the cars long-term</t>
    </r>
  </si>
  <si>
    <t>Cars on the road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</si>
  <si>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250M cars on the road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</si>
  <si>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No costs were assumed for infrastructure (V2I) or maintenance</t>
    </r>
  </si>
  <si>
    <t>Cost of turnover (net of new car cost)*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</si>
  <si>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$1.35T for cost of turnover (net of new car cost), $2013 undiscounted = (45%*250M*$10K)+(45%*250M*$2k)</t>
    </r>
  </si>
  <si>
    <t>Total undiscounted ($ million)</t>
  </si>
  <si>
    <t>*Assumes 90% of the cars are equipped</t>
  </si>
  <si>
    <t>Benefits:</t>
  </si>
  <si>
    <t>I-95 Economy/US Economy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</si>
  <si>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Benefits include fuel savings, accident savings, productivity gain, and fuel and productivity savings from congestion.</t>
    </r>
  </si>
  <si>
    <t>2013$M</t>
  </si>
  <si>
    <t>2017$M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</si>
  <si>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High starts at 1% of the annual benefits in 2028, reaching 90% by 2048. Total $12.9T undiscounted.</t>
    </r>
  </si>
  <si>
    <t>Annual Benefits to the US Economy: Base Case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</si>
  <si>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Low starts at 0% of the annual benefits in 2028 reaching 40% by 2048. Total $4.2T undiscounted.</t>
    </r>
  </si>
  <si>
    <t>Annual Benefits to the I-95 Economy: Base Case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</si>
  <si>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Assumes the nation can get 100% of the benefits without 100% of the vehicles.</t>
    </r>
  </si>
  <si>
    <t>Vehicles</t>
  </si>
  <si>
    <t>Adoption Curve</t>
  </si>
  <si>
    <t>Cost</t>
  </si>
  <si>
    <t>Discounted 7%</t>
  </si>
  <si>
    <t>Discounted 3%</t>
  </si>
  <si>
    <t>Baseline Ramp-up</t>
  </si>
  <si>
    <t>Low Ramp-up</t>
  </si>
  <si>
    <t>High Ramp-up</t>
  </si>
  <si>
    <t>Low Benefits</t>
  </si>
  <si>
    <t>Average Benefits</t>
  </si>
  <si>
    <t>High Benefits</t>
  </si>
  <si>
    <t>Assumes nation can get to 100% of benefits without 100% of the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</si>
</sst>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_(* #,##0_);_(* \(#,##0\);_(* &quot;-&quot;??_);_(@_)"/>
    <numFmt numFmtId="167" formatCode="#,##0.0_);\(#,##0.0\)"/>
    <numFmt numFmtId="168" formatCode="&quot;$&quot;#,##0"/>
    <numFmt numFmtId="169" formatCode="0.0%"/>
    <numFmt numFmtId="170" formatCode="&quot;$&quot;#,##0.00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.000_);_(* \(#,##0.000\);_(* &quot;-&quot;??_);_(@_)"/>
    <numFmt numFmtId="174" formatCode="&quot;$&quot;#,##0.0"/>
    <numFmt numFmtId="175" formatCode="&quot;$&quot;#,##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56"/>
      <name val="Arial, Helvetica, sans-serif"/>
    </font>
    <font>
      <b/>
      <sz val="10"/>
      <color indexed="56"/>
      <name val="Arial, Helvetica, sans-serif"/>
    </font>
    <font>
      <b/>
      <sz val="10"/>
      <color indexed="9"/>
      <name val="Arial, Helvetica, sans-serif"/>
    </font>
    <font>
      <sz val="10"/>
      <color indexed="8"/>
      <name val="Arial, Helvetica, sans-serif"/>
    </font>
    <font>
      <u/>
      <sz val="11"/>
      <color theme="10"/>
      <name val="Calibri"/>
      <family val="2"/>
      <scheme val="minor"/>
    </font>
    <font>
      <b/>
      <sz val="14"/>
      <color indexed="56"/>
      <name val="Arial, Helvetica, sans-serif"/>
    </font>
    <font>
      <b/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1F497D"/>
      <name val="Symbol"/>
      <family val="1"/>
      <charset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6CBD0"/>
      </left>
      <right style="medium">
        <color rgb="FFC6CBD0"/>
      </right>
      <top style="medium">
        <color rgb="FFC6CBD0"/>
      </top>
      <bottom style="medium">
        <color rgb="FFC6CBD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5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164" fontId="5" fillId="0" borderId="11" xfId="0" applyNumberFormat="1" applyFont="1" applyBorder="1" applyAlignment="1" applyProtection="1">
      <alignment horizontal="right" wrapText="1"/>
    </xf>
    <xf numFmtId="165" fontId="5" fillId="0" borderId="11" xfId="0" applyNumberFormat="1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wrapText="1"/>
    </xf>
    <xf numFmtId="164" fontId="5" fillId="0" borderId="12" xfId="0" applyNumberFormat="1" applyFont="1" applyBorder="1" applyAlignment="1" applyProtection="1">
      <alignment horizontal="right" wrapText="1"/>
    </xf>
    <xf numFmtId="165" fontId="5" fillId="0" borderId="12" xfId="0" applyNumberFormat="1" applyFont="1" applyBorder="1" applyAlignment="1" applyProtection="1">
      <alignment horizontal="right" wrapText="1"/>
    </xf>
    <xf numFmtId="0" fontId="7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9" fillId="3" borderId="14" xfId="0" applyNumberFormat="1" applyFont="1" applyFill="1" applyBorder="1" applyAlignment="1" applyProtection="1">
      <alignment horizontal="center" wrapText="1"/>
    </xf>
    <xf numFmtId="0" fontId="10" fillId="2" borderId="14" xfId="0" applyNumberFormat="1" applyFont="1" applyFill="1" applyBorder="1" applyAlignment="1" applyProtection="1">
      <alignment horizontal="left" wrapText="1"/>
    </xf>
    <xf numFmtId="0" fontId="10" fillId="2" borderId="14" xfId="0" applyNumberFormat="1" applyFont="1" applyFill="1" applyBorder="1" applyAlignment="1" applyProtection="1">
      <alignment horizontal="right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0" xfId="0" applyFill="1"/>
    <xf numFmtId="0" fontId="0" fillId="0" borderId="19" xfId="0" applyFont="1" applyBorder="1" applyAlignment="1">
      <alignment horizontal="left" vertical="center" wrapText="1"/>
    </xf>
    <xf numFmtId="9" fontId="0" fillId="0" borderId="19" xfId="3" applyFont="1" applyBorder="1"/>
    <xf numFmtId="0" fontId="0" fillId="0" borderId="19" xfId="0" applyBorder="1" applyAlignment="1">
      <alignment wrapText="1"/>
    </xf>
    <xf numFmtId="0" fontId="0" fillId="0" borderId="19" xfId="0" applyFill="1" applyBorder="1" applyAlignment="1">
      <alignment wrapText="1"/>
    </xf>
    <xf numFmtId="43" fontId="0" fillId="0" borderId="20" xfId="1" applyNumberFormat="1" applyFont="1" applyFill="1" applyBorder="1"/>
    <xf numFmtId="166" fontId="0" fillId="0" borderId="20" xfId="1" applyNumberFormat="1" applyFont="1" applyFill="1" applyBorder="1"/>
    <xf numFmtId="166" fontId="0" fillId="0" borderId="19" xfId="0" applyNumberFormat="1" applyFill="1" applyBorder="1" applyAlignment="1">
      <alignment wrapText="1"/>
    </xf>
    <xf numFmtId="167" fontId="0" fillId="0" borderId="20" xfId="1" applyNumberFormat="1" applyFont="1" applyFill="1" applyBorder="1"/>
    <xf numFmtId="168" fontId="0" fillId="0" borderId="19" xfId="0" applyNumberFormat="1" applyFill="1" applyBorder="1"/>
    <xf numFmtId="0" fontId="11" fillId="0" borderId="19" xfId="4" applyFill="1" applyBorder="1" applyAlignment="1">
      <alignment wrapText="1"/>
    </xf>
    <xf numFmtId="0" fontId="0" fillId="4" borderId="0" xfId="0" applyFill="1"/>
    <xf numFmtId="169" fontId="0" fillId="0" borderId="19" xfId="3" applyNumberFormat="1" applyFont="1" applyBorder="1"/>
    <xf numFmtId="0" fontId="0" fillId="0" borderId="19" xfId="0" applyFill="1" applyBorder="1"/>
    <xf numFmtId="1" fontId="0" fillId="0" borderId="19" xfId="0" applyNumberFormat="1" applyBorder="1"/>
    <xf numFmtId="170" fontId="0" fillId="0" borderId="19" xfId="0" applyNumberFormat="1" applyBorder="1"/>
    <xf numFmtId="44" fontId="0" fillId="0" borderId="19" xfId="2" applyFont="1" applyBorder="1"/>
    <xf numFmtId="0" fontId="3" fillId="0" borderId="19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44" fontId="0" fillId="0" borderId="0" xfId="2" applyFont="1" applyAlignment="1">
      <alignment horizontal="center"/>
    </xf>
    <xf numFmtId="44" fontId="3" fillId="0" borderId="0" xfId="2" applyFont="1" applyAlignment="1">
      <alignment horizontal="center"/>
    </xf>
    <xf numFmtId="44" fontId="3" fillId="0" borderId="0" xfId="2" applyFont="1"/>
    <xf numFmtId="0" fontId="13" fillId="0" borderId="0" xfId="0" applyFont="1"/>
    <xf numFmtId="44" fontId="13" fillId="0" borderId="0" xfId="2" applyFont="1"/>
    <xf numFmtId="44" fontId="13" fillId="0" borderId="0" xfId="2" applyFont="1" applyAlignment="1">
      <alignment horizontal="center"/>
    </xf>
    <xf numFmtId="44" fontId="13" fillId="0" borderId="0" xfId="2" applyFont="1" applyFill="1" applyAlignment="1">
      <alignment horizontal="center"/>
    </xf>
    <xf numFmtId="0" fontId="14" fillId="5" borderId="0" xfId="0" applyFont="1" applyFill="1"/>
    <xf numFmtId="0" fontId="13" fillId="5" borderId="0" xfId="0" applyFont="1" applyFill="1"/>
    <xf numFmtId="44" fontId="13" fillId="5" borderId="0" xfId="2" applyFont="1" applyFill="1"/>
    <xf numFmtId="44" fontId="13" fillId="5" borderId="0" xfId="2" applyFont="1" applyFill="1" applyAlignment="1">
      <alignment horizontal="center"/>
    </xf>
    <xf numFmtId="0" fontId="0" fillId="5" borderId="0" xfId="0" applyFill="1"/>
    <xf numFmtId="0" fontId="3" fillId="0" borderId="0" xfId="0" applyFont="1"/>
    <xf numFmtId="37" fontId="0" fillId="0" borderId="0" xfId="2" applyNumberFormat="1" applyFont="1"/>
    <xf numFmtId="44" fontId="0" fillId="0" borderId="0" xfId="2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168" fontId="0" fillId="6" borderId="0" xfId="0" applyNumberFormat="1" applyFill="1" applyBorder="1"/>
    <xf numFmtId="44" fontId="0" fillId="0" borderId="0" xfId="2" applyFont="1" applyBorder="1"/>
    <xf numFmtId="44" fontId="13" fillId="5" borderId="0" xfId="2" applyFont="1" applyFill="1" applyBorder="1" applyAlignment="1">
      <alignment horizontal="center"/>
    </xf>
    <xf numFmtId="37" fontId="0" fillId="0" borderId="0" xfId="2" applyNumberFormat="1" applyFont="1" applyFill="1"/>
    <xf numFmtId="44" fontId="0" fillId="7" borderId="0" xfId="2" applyFont="1" applyFill="1" applyBorder="1"/>
    <xf numFmtId="44" fontId="0" fillId="8" borderId="0" xfId="2" applyFont="1" applyFill="1" applyBorder="1"/>
    <xf numFmtId="0" fontId="0" fillId="0" borderId="0" xfId="0" applyAlignment="1">
      <alignment horizontal="center"/>
    </xf>
    <xf numFmtId="44" fontId="0" fillId="9" borderId="0" xfId="2" applyFont="1" applyFill="1" applyBorder="1" applyAlignment="1">
      <alignment horizontal="center"/>
    </xf>
    <xf numFmtId="44" fontId="13" fillId="0" borderId="0" xfId="2" applyFont="1" applyAlignment="1">
      <alignment horizontal="right"/>
    </xf>
    <xf numFmtId="170" fontId="0" fillId="0" borderId="0" xfId="0" applyNumberFormat="1"/>
    <xf numFmtId="168" fontId="0" fillId="0" borderId="0" xfId="0" applyNumberFormat="1"/>
    <xf numFmtId="168" fontId="0" fillId="4" borderId="26" xfId="0" applyNumberFormat="1" applyFill="1" applyBorder="1"/>
    <xf numFmtId="168" fontId="0" fillId="4" borderId="19" xfId="0" applyNumberFormat="1" applyFill="1" applyBorder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 applyAlignment="1"/>
    <xf numFmtId="0" fontId="0" fillId="0" borderId="21" xfId="0" applyFill="1" applyBorder="1" applyAlignment="1"/>
    <xf numFmtId="0" fontId="0" fillId="0" borderId="0" xfId="0" applyFill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6" fontId="0" fillId="0" borderId="0" xfId="1" applyNumberFormat="1" applyFont="1" applyFill="1"/>
    <xf numFmtId="168" fontId="0" fillId="0" borderId="0" xfId="0" applyNumberFormat="1" applyFill="1"/>
    <xf numFmtId="166" fontId="0" fillId="0" borderId="0" xfId="0" applyNumberFormat="1" applyFill="1"/>
    <xf numFmtId="171" fontId="0" fillId="0" borderId="0" xfId="2" applyNumberFormat="1" applyFont="1" applyFill="1"/>
    <xf numFmtId="0" fontId="0" fillId="0" borderId="25" xfId="0" applyFill="1" applyBorder="1" applyAlignment="1">
      <alignment horizontal="center"/>
    </xf>
    <xf numFmtId="168" fontId="0" fillId="0" borderId="26" xfId="0" applyNumberFormat="1" applyFill="1" applyBorder="1"/>
    <xf numFmtId="168" fontId="0" fillId="6" borderId="26" xfId="0" applyNumberFormat="1" applyFill="1" applyBorder="1"/>
    <xf numFmtId="168" fontId="0" fillId="7" borderId="26" xfId="0" applyNumberFormat="1" applyFill="1" applyBorder="1"/>
    <xf numFmtId="168" fontId="0" fillId="8" borderId="26" xfId="0" applyNumberFormat="1" applyFill="1" applyBorder="1"/>
    <xf numFmtId="168" fontId="15" fillId="0" borderId="26" xfId="0" applyNumberFormat="1" applyFont="1" applyFill="1" applyBorder="1"/>
    <xf numFmtId="0" fontId="3" fillId="0" borderId="27" xfId="0" applyFont="1" applyFill="1" applyBorder="1" applyAlignment="1">
      <alignment horizontal="center"/>
    </xf>
    <xf numFmtId="168" fontId="0" fillId="0" borderId="28" xfId="0" applyNumberFormat="1" applyFill="1" applyBorder="1"/>
    <xf numFmtId="168" fontId="15" fillId="0" borderId="28" xfId="0" applyNumberFormat="1" applyFont="1" applyFill="1" applyBorder="1"/>
    <xf numFmtId="0" fontId="0" fillId="6" borderId="0" xfId="0" applyFill="1"/>
    <xf numFmtId="9" fontId="0" fillId="0" borderId="0" xfId="0" applyNumberFormat="1"/>
    <xf numFmtId="0" fontId="3" fillId="0" borderId="22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5" xfId="0" applyBorder="1"/>
    <xf numFmtId="3" fontId="0" fillId="0" borderId="26" xfId="0" applyNumberFormat="1" applyBorder="1"/>
    <xf numFmtId="168" fontId="0" fillId="0" borderId="26" xfId="0" applyNumberFormat="1" applyBorder="1"/>
    <xf numFmtId="168" fontId="0" fillId="0" borderId="30" xfId="0" applyNumberFormat="1" applyBorder="1"/>
    <xf numFmtId="168" fontId="0" fillId="0" borderId="26" xfId="2" applyNumberFormat="1" applyFont="1" applyBorder="1"/>
    <xf numFmtId="0" fontId="0" fillId="4" borderId="25" xfId="0" applyFill="1" applyBorder="1"/>
    <xf numFmtId="42" fontId="0" fillId="4" borderId="26" xfId="2" applyNumberFormat="1" applyFont="1" applyFill="1" applyBorder="1"/>
    <xf numFmtId="168" fontId="0" fillId="4" borderId="30" xfId="0" applyNumberFormat="1" applyFill="1" applyBorder="1"/>
    <xf numFmtId="0" fontId="3" fillId="0" borderId="27" xfId="0" applyFont="1" applyBorder="1"/>
    <xf numFmtId="168" fontId="3" fillId="0" borderId="31" xfId="1" applyNumberFormat="1" applyFont="1" applyBorder="1"/>
    <xf numFmtId="0" fontId="11" fillId="0" borderId="0" xfId="4" applyFill="1"/>
    <xf numFmtId="0" fontId="16" fillId="1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/>
    <xf numFmtId="3" fontId="3" fillId="0" borderId="19" xfId="0" applyNumberFormat="1" applyFont="1" applyFill="1" applyBorder="1" applyAlignment="1">
      <alignment horizontal="center" vertical="center" wrapText="1"/>
    </xf>
    <xf numFmtId="172" fontId="0" fillId="0" borderId="19" xfId="1" applyNumberFormat="1" applyFont="1" applyFill="1" applyBorder="1"/>
    <xf numFmtId="166" fontId="0" fillId="0" borderId="19" xfId="1" applyNumberFormat="1" applyFont="1" applyFill="1" applyBorder="1"/>
    <xf numFmtId="173" fontId="0" fillId="0" borderId="19" xfId="1" applyNumberFormat="1" applyFont="1" applyFill="1" applyBorder="1"/>
    <xf numFmtId="168" fontId="0" fillId="0" borderId="19" xfId="2" applyNumberFormat="1" applyFont="1" applyFill="1" applyBorder="1"/>
    <xf numFmtId="0" fontId="0" fillId="4" borderId="19" xfId="0" applyFill="1" applyBorder="1"/>
    <xf numFmtId="173" fontId="0" fillId="4" borderId="19" xfId="1" applyNumberFormat="1" applyFont="1" applyFill="1" applyBorder="1"/>
    <xf numFmtId="168" fontId="0" fillId="4" borderId="19" xfId="2" applyNumberFormat="1" applyFont="1" applyFill="1" applyBorder="1"/>
    <xf numFmtId="0" fontId="3" fillId="0" borderId="19" xfId="0" applyFont="1" applyBorder="1"/>
    <xf numFmtId="166" fontId="3" fillId="0" borderId="19" xfId="1" applyNumberFormat="1" applyFont="1" applyFill="1" applyBorder="1"/>
    <xf numFmtId="3" fontId="0" fillId="0" borderId="0" xfId="0" applyNumberFormat="1"/>
    <xf numFmtId="0" fontId="11" fillId="2" borderId="32" xfId="4" applyFill="1" applyBorder="1" applyAlignment="1">
      <alignment vertical="center" wrapText="1"/>
    </xf>
    <xf numFmtId="10" fontId="0" fillId="0" borderId="0" xfId="3" applyNumberFormat="1" applyFont="1"/>
    <xf numFmtId="0" fontId="11" fillId="0" borderId="0" xfId="4"/>
    <xf numFmtId="166" fontId="0" fillId="0" borderId="0" xfId="1" applyNumberFormat="1" applyFont="1"/>
    <xf numFmtId="9" fontId="0" fillId="0" borderId="0" xfId="0" applyNumberFormat="1" applyFill="1"/>
    <xf numFmtId="3" fontId="3" fillId="0" borderId="23" xfId="0" applyNumberFormat="1" applyFont="1" applyBorder="1" applyAlignment="1">
      <alignment horizontal="center" vertical="center" wrapText="1"/>
    </xf>
    <xf numFmtId="3" fontId="0" fillId="0" borderId="19" xfId="0" applyNumberFormat="1" applyBorder="1"/>
    <xf numFmtId="3" fontId="0" fillId="4" borderId="19" xfId="0" applyNumberFormat="1" applyFill="1" applyBorder="1"/>
    <xf numFmtId="0" fontId="18" fillId="0" borderId="0" xfId="0" applyFont="1" applyFill="1"/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3" fontId="2" fillId="4" borderId="19" xfId="0" applyNumberFormat="1" applyFont="1" applyFill="1" applyBorder="1"/>
    <xf numFmtId="164" fontId="0" fillId="4" borderId="19" xfId="0" applyNumberFormat="1" applyFill="1" applyBorder="1"/>
    <xf numFmtId="165" fontId="0" fillId="4" borderId="19" xfId="0" applyNumberFormat="1" applyFill="1" applyBorder="1"/>
    <xf numFmtId="0" fontId="0" fillId="0" borderId="25" xfId="0" applyFill="1" applyBorder="1"/>
    <xf numFmtId="3" fontId="0" fillId="0" borderId="19" xfId="0" applyNumberFormat="1" applyFill="1" applyBorder="1"/>
    <xf numFmtId="164" fontId="0" fillId="0" borderId="19" xfId="0" applyNumberFormat="1" applyFill="1" applyBorder="1"/>
    <xf numFmtId="165" fontId="0" fillId="0" borderId="19" xfId="0" applyNumberFormat="1" applyFill="1" applyBorder="1"/>
    <xf numFmtId="168" fontId="0" fillId="0" borderId="30" xfId="0" applyNumberFormat="1" applyFill="1" applyBorder="1"/>
    <xf numFmtId="0" fontId="3" fillId="0" borderId="27" xfId="0" applyFont="1" applyFill="1" applyBorder="1"/>
    <xf numFmtId="3" fontId="3" fillId="0" borderId="33" xfId="0" applyNumberFormat="1" applyFont="1" applyFill="1" applyBorder="1"/>
    <xf numFmtId="1" fontId="3" fillId="0" borderId="34" xfId="0" applyNumberFormat="1" applyFont="1" applyFill="1" applyBorder="1"/>
    <xf numFmtId="168" fontId="3" fillId="0" borderId="34" xfId="0" applyNumberFormat="1" applyFont="1" applyFill="1" applyBorder="1"/>
    <xf numFmtId="169" fontId="0" fillId="0" borderId="0" xfId="3" applyNumberFormat="1" applyFont="1" applyFill="1"/>
    <xf numFmtId="0" fontId="0" fillId="0" borderId="0" xfId="0" applyBorder="1"/>
    <xf numFmtId="0" fontId="19" fillId="0" borderId="0" xfId="0" applyFont="1" applyFill="1" applyBorder="1" applyAlignment="1">
      <alignment vertical="center"/>
    </xf>
    <xf numFmtId="0" fontId="0" fillId="6" borderId="0" xfId="0" applyFill="1" applyBorder="1"/>
    <xf numFmtId="0" fontId="20" fillId="0" borderId="0" xfId="0" applyFont="1" applyFill="1" applyBorder="1"/>
    <xf numFmtId="0" fontId="20" fillId="0" borderId="0" xfId="0" applyFont="1"/>
    <xf numFmtId="0" fontId="20" fillId="0" borderId="0" xfId="0" applyFont="1" applyAlignment="1">
      <alignment wrapText="1"/>
    </xf>
    <xf numFmtId="0" fontId="19" fillId="10" borderId="35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9" fillId="10" borderId="36" xfId="0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174" fontId="19" fillId="0" borderId="19" xfId="0" applyNumberFormat="1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174" fontId="23" fillId="0" borderId="19" xfId="2" applyNumberFormat="1" applyFont="1" applyFill="1" applyBorder="1"/>
    <xf numFmtId="0" fontId="22" fillId="0" borderId="0" xfId="0" applyFont="1" applyFill="1" applyBorder="1" applyAlignment="1">
      <alignment vertical="center"/>
    </xf>
    <xf numFmtId="0" fontId="21" fillId="10" borderId="38" xfId="0" applyFont="1" applyFill="1" applyBorder="1" applyAlignment="1">
      <alignment vertical="center"/>
    </xf>
    <xf numFmtId="174" fontId="19" fillId="0" borderId="37" xfId="0" applyNumberFormat="1" applyFont="1" applyBorder="1" applyAlignment="1">
      <alignment vertical="center" wrapText="1"/>
    </xf>
    <xf numFmtId="174" fontId="19" fillId="0" borderId="0" xfId="0" applyNumberFormat="1" applyFont="1" applyFill="1" applyBorder="1" applyAlignment="1">
      <alignment vertical="center"/>
    </xf>
    <xf numFmtId="174" fontId="19" fillId="0" borderId="38" xfId="0" applyNumberFormat="1" applyFont="1" applyFill="1" applyBorder="1" applyAlignment="1">
      <alignment vertical="center"/>
    </xf>
    <xf numFmtId="174" fontId="22" fillId="0" borderId="35" xfId="0" applyNumberFormat="1" applyFont="1" applyBorder="1" applyAlignment="1">
      <alignment vertical="center"/>
    </xf>
    <xf numFmtId="174" fontId="22" fillId="0" borderId="0" xfId="0" applyNumberFormat="1" applyFont="1" applyFill="1" applyBorder="1" applyAlignment="1">
      <alignment vertical="center"/>
    </xf>
    <xf numFmtId="174" fontId="19" fillId="4" borderId="19" xfId="0" applyNumberFormat="1" applyFont="1" applyFill="1" applyBorder="1" applyAlignment="1">
      <alignment vertical="center"/>
    </xf>
    <xf numFmtId="174" fontId="24" fillId="0" borderId="38" xfId="0" applyNumberFormat="1" applyFont="1" applyFill="1" applyBorder="1" applyAlignment="1">
      <alignment vertical="center"/>
    </xf>
    <xf numFmtId="174" fontId="22" fillId="0" borderId="38" xfId="0" applyNumberFormat="1" applyFont="1" applyFill="1" applyBorder="1" applyAlignment="1">
      <alignment vertical="center"/>
    </xf>
    <xf numFmtId="174" fontId="23" fillId="0" borderId="38" xfId="2" applyNumberFormat="1" applyFont="1" applyFill="1" applyBorder="1"/>
    <xf numFmtId="174" fontId="23" fillId="0" borderId="0" xfId="2" applyNumberFormat="1" applyFont="1" applyFill="1" applyBorder="1"/>
    <xf numFmtId="174" fontId="24" fillId="0" borderId="26" xfId="0" applyNumberFormat="1" applyFont="1" applyFill="1" applyBorder="1" applyAlignment="1">
      <alignment vertical="center"/>
    </xf>
    <xf numFmtId="174" fontId="24" fillId="0" borderId="19" xfId="0" applyNumberFormat="1" applyFont="1" applyFill="1" applyBorder="1" applyAlignment="1">
      <alignment vertical="center"/>
    </xf>
    <xf numFmtId="174" fontId="24" fillId="0" borderId="0" xfId="0" applyNumberFormat="1" applyFont="1" applyFill="1" applyBorder="1" applyAlignment="1">
      <alignment vertical="center"/>
    </xf>
    <xf numFmtId="175" fontId="24" fillId="0" borderId="19" xfId="0" applyNumberFormat="1" applyFont="1" applyFill="1" applyBorder="1" applyAlignment="1">
      <alignment vertical="center"/>
    </xf>
    <xf numFmtId="0" fontId="25" fillId="0" borderId="0" xfId="0" applyFont="1"/>
    <xf numFmtId="174" fontId="22" fillId="0" borderId="26" xfId="0" applyNumberFormat="1" applyFont="1" applyBorder="1" applyAlignment="1">
      <alignment vertical="center"/>
    </xf>
    <xf numFmtId="0" fontId="25" fillId="6" borderId="0" xfId="0" applyFont="1" applyFill="1" applyBorder="1"/>
    <xf numFmtId="168" fontId="0" fillId="0" borderId="0" xfId="0" applyNumberFormat="1" applyFill="1" applyBorder="1"/>
    <xf numFmtId="168" fontId="22" fillId="0" borderId="26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vertical="center"/>
    </xf>
    <xf numFmtId="0" fontId="21" fillId="10" borderId="26" xfId="0" applyFont="1" applyFill="1" applyBorder="1" applyAlignment="1">
      <alignment vertical="center"/>
    </xf>
    <xf numFmtId="2" fontId="21" fillId="10" borderId="19" xfId="1" applyNumberFormat="1" applyFont="1" applyFill="1" applyBorder="1" applyAlignment="1">
      <alignment horizontal="center" vertical="center"/>
    </xf>
    <xf numFmtId="174" fontId="3" fillId="5" borderId="19" xfId="2" applyNumberFormat="1" applyFont="1" applyFill="1" applyBorder="1" applyAlignment="1">
      <alignment horizontal="center"/>
    </xf>
    <xf numFmtId="0" fontId="14" fillId="0" borderId="0" xfId="0" applyFont="1" applyFill="1"/>
    <xf numFmtId="0" fontId="0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171" fontId="0" fillId="0" borderId="0" xfId="2" applyNumberFormat="1" applyFont="1"/>
    <xf numFmtId="171" fontId="0" fillId="0" borderId="0" xfId="0" applyNumberFormat="1"/>
    <xf numFmtId="0" fontId="26" fillId="0" borderId="0" xfId="0" applyFont="1" applyAlignment="1">
      <alignment horizontal="left" vertical="center" indent="5"/>
    </xf>
    <xf numFmtId="171" fontId="2" fillId="0" borderId="0" xfId="0" applyNumberFormat="1" applyFont="1" applyFill="1"/>
    <xf numFmtId="166" fontId="2" fillId="0" borderId="0" xfId="0" applyNumberFormat="1" applyFont="1" applyFill="1"/>
    <xf numFmtId="166" fontId="15" fillId="0" borderId="0" xfId="0" applyNumberFormat="1" applyFont="1" applyFill="1"/>
    <xf numFmtId="10" fontId="3" fillId="0" borderId="19" xfId="3" applyNumberFormat="1" applyFont="1" applyFill="1" applyBorder="1"/>
    <xf numFmtId="10" fontId="2" fillId="0" borderId="0" xfId="3" applyNumberFormat="1" applyFont="1" applyFill="1"/>
    <xf numFmtId="6" fontId="0" fillId="0" borderId="19" xfId="0" applyNumberFormat="1" applyBorder="1"/>
    <xf numFmtId="171" fontId="0" fillId="0" borderId="19" xfId="2" applyNumberFormat="1" applyFont="1" applyBorder="1"/>
    <xf numFmtId="171" fontId="0" fillId="0" borderId="19" xfId="0" applyNumberFormat="1" applyBorder="1"/>
    <xf numFmtId="171" fontId="1" fillId="0" borderId="19" xfId="2" applyNumberFormat="1" applyFont="1" applyBorder="1"/>
    <xf numFmtId="0" fontId="28" fillId="0" borderId="0" xfId="0" applyFont="1" applyAlignment="1">
      <alignment horizontal="left" vertical="center" indent="5"/>
    </xf>
    <xf numFmtId="168" fontId="3" fillId="0" borderId="23" xfId="0" applyNumberFormat="1" applyFont="1" applyBorder="1" applyAlignment="1">
      <alignment horizontal="center" vertical="center" wrapText="1"/>
    </xf>
    <xf numFmtId="0" fontId="0" fillId="0" borderId="25" xfId="0" applyFont="1" applyBorder="1"/>
    <xf numFmtId="3" fontId="0" fillId="0" borderId="39" xfId="0" applyNumberFormat="1" applyFont="1" applyFill="1" applyBorder="1" applyAlignment="1">
      <alignment horizontal="right" vertical="center" wrapText="1"/>
    </xf>
    <xf numFmtId="168" fontId="0" fillId="0" borderId="39" xfId="0" applyNumberFormat="1" applyFont="1" applyFill="1" applyBorder="1" applyAlignment="1">
      <alignment horizontal="right" vertical="center" wrapText="1"/>
    </xf>
    <xf numFmtId="168" fontId="0" fillId="0" borderId="19" xfId="0" applyNumberFormat="1" applyBorder="1"/>
    <xf numFmtId="0" fontId="0" fillId="0" borderId="25" xfId="0" applyFont="1" applyFill="1" applyBorder="1"/>
    <xf numFmtId="9" fontId="0" fillId="0" borderId="19" xfId="3" applyFont="1" applyFill="1" applyBorder="1"/>
    <xf numFmtId="9" fontId="0" fillId="4" borderId="19" xfId="3" applyFont="1" applyFill="1" applyBorder="1"/>
    <xf numFmtId="168" fontId="0" fillId="4" borderId="39" xfId="0" applyNumberFormat="1" applyFont="1" applyFill="1" applyBorder="1" applyAlignment="1">
      <alignment horizontal="right" vertical="center" wrapText="1"/>
    </xf>
    <xf numFmtId="0" fontId="29" fillId="0" borderId="27" xfId="0" applyFont="1" applyFill="1" applyBorder="1"/>
    <xf numFmtId="3" fontId="29" fillId="0" borderId="34" xfId="0" applyNumberFormat="1" applyFont="1" applyFill="1" applyBorder="1" applyAlignment="1"/>
    <xf numFmtId="3" fontId="15" fillId="0" borderId="0" xfId="0" applyNumberFormat="1" applyFont="1" applyFill="1"/>
    <xf numFmtId="0" fontId="15" fillId="0" borderId="0" xfId="0" applyFont="1" applyFill="1"/>
    <xf numFmtId="168" fontId="29" fillId="0" borderId="34" xfId="0" applyNumberFormat="1" applyFont="1" applyFill="1" applyBorder="1" applyAlignment="1"/>
    <xf numFmtId="169" fontId="0" fillId="0" borderId="0" xfId="3" applyNumberFormat="1" applyFont="1"/>
    <xf numFmtId="0" fontId="19" fillId="1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6" fillId="1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3" xfId="0" applyFont="1" applyBorder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0" fontId="9" fillId="3" borderId="15" xfId="0" applyNumberFormat="1" applyFont="1" applyFill="1" applyBorder="1" applyAlignment="1" applyProtection="1">
      <alignment horizontal="center" wrapText="1"/>
    </xf>
    <xf numFmtId="0" fontId="9" fillId="3" borderId="16" xfId="0" applyNumberFormat="1" applyFont="1" applyFill="1" applyBorder="1" applyAlignment="1" applyProtection="1">
      <alignment horizontal="center" wrapText="1"/>
    </xf>
    <xf numFmtId="0" fontId="9" fillId="3" borderId="17" xfId="0" applyNumberFormat="1" applyFont="1" applyFill="1" applyBorder="1" applyAlignment="1" applyProtection="1">
      <alignment horizontal="center" wrapText="1"/>
    </xf>
    <xf numFmtId="0" fontId="7" fillId="2" borderId="18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ncosbm.s3.amazonaws.com/s3fs-public/demog/countygrowth_2037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onnect.ncdot.gov/resources/State-Mapping/Documents/NCDOT2016InterstateFreewayReport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bkmk/table/1.0/en/DEC/10_DP/DPDP1/0500000US37057" TargetMode="External"/><Relationship Id="rId2" Type="http://schemas.openxmlformats.org/officeDocument/2006/relationships/hyperlink" Target="https://files.nc.gov/ncosbm/demog/countygrowth_cert_2016.html" TargetMode="External"/><Relationship Id="rId1" Type="http://schemas.openxmlformats.org/officeDocument/2006/relationships/hyperlink" Target="https://www.colorado.edu/economics/gradplacement/PetersonJMP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ta.dot.gov/bts/sites/rita.dot.gov.bts/files/publications/national_transportation_statistics/html/table_02_17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orfe.princeton.edu/~alaink/SmartDrivingCars/PDFs/Nov2013MORGAN-STANLEY-BLUE-PAPER-AUTONOMOUS-CARS%EF%BC%9A-SELF-DRIVING-THE-NEW-AUTO-INDUSTRY-PARADIG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C073C-E317-4FBA-B235-799A303C1880}">
  <dimension ref="B2:X34"/>
  <sheetViews>
    <sheetView workbookViewId="0">
      <selection activeCell="D15" sqref="D15"/>
    </sheetView>
  </sheetViews>
  <sheetFormatPr defaultRowHeight="15"/>
  <cols>
    <col min="1" max="1" width="2.140625" customWidth="1"/>
    <col min="2" max="2" width="39.5703125" bestFit="1" customWidth="1"/>
    <col min="3" max="3" width="18" customWidth="1"/>
    <col min="4" max="4" width="20.7109375" customWidth="1"/>
    <col min="5" max="5" width="2.7109375" style="148" customWidth="1"/>
    <col min="6" max="6" width="2.5703125" style="148" hidden="1" customWidth="1"/>
    <col min="7" max="7" width="18" hidden="1" customWidth="1"/>
    <col min="8" max="8" width="20.5703125" hidden="1" customWidth="1"/>
    <col min="11" max="11" width="10.28515625" bestFit="1" customWidth="1"/>
    <col min="12" max="12" width="13.7109375" customWidth="1"/>
  </cols>
  <sheetData>
    <row r="2" spans="2:24" ht="15" customHeight="1">
      <c r="B2" s="149" t="s">
        <v>436</v>
      </c>
      <c r="C2" s="221" t="s">
        <v>437</v>
      </c>
      <c r="D2" s="221"/>
      <c r="E2" s="149"/>
      <c r="F2" s="150"/>
      <c r="G2" s="221" t="s">
        <v>437</v>
      </c>
      <c r="H2" s="221"/>
    </row>
    <row r="3" spans="2:24" ht="15" customHeight="1">
      <c r="B3" s="149" t="s">
        <v>438</v>
      </c>
      <c r="C3" s="221" t="s">
        <v>439</v>
      </c>
      <c r="D3" s="221"/>
      <c r="E3" s="151"/>
      <c r="F3" s="150"/>
      <c r="G3" s="221" t="s">
        <v>439</v>
      </c>
      <c r="H3" s="221"/>
    </row>
    <row r="4" spans="2:24">
      <c r="B4" s="152"/>
      <c r="C4" s="221" t="s">
        <v>440</v>
      </c>
      <c r="D4" s="221"/>
      <c r="E4" s="151"/>
      <c r="F4" s="150"/>
      <c r="G4" s="221" t="s">
        <v>440</v>
      </c>
      <c r="H4" s="221"/>
    </row>
    <row r="5" spans="2:24">
      <c r="B5" s="153"/>
      <c r="C5" s="154" t="s">
        <v>441</v>
      </c>
      <c r="D5" s="155" t="s">
        <v>442</v>
      </c>
      <c r="E5" s="156"/>
      <c r="F5" s="157"/>
      <c r="G5" s="155" t="s">
        <v>441</v>
      </c>
      <c r="H5" s="158" t="s">
        <v>442</v>
      </c>
    </row>
    <row r="6" spans="2:24">
      <c r="B6" s="159" t="s">
        <v>443</v>
      </c>
      <c r="C6" s="159"/>
      <c r="D6" s="159"/>
      <c r="E6" s="151"/>
      <c r="F6" s="150"/>
      <c r="G6" s="159"/>
      <c r="H6" s="15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2:24" s="16" customFormat="1">
      <c r="B7" s="160" t="s">
        <v>444</v>
      </c>
      <c r="C7" s="161">
        <f>G7</f>
        <v>16.017713155719978</v>
      </c>
      <c r="D7" s="161">
        <f>H7</f>
        <v>19.632691439181581</v>
      </c>
      <c r="E7" s="149"/>
      <c r="F7" s="150"/>
      <c r="G7" s="161">
        <f>Costs!L38/10^6</f>
        <v>16.017713155719978</v>
      </c>
      <c r="H7" s="161">
        <f>Costs!M38/10^6</f>
        <v>19.632691439181581</v>
      </c>
      <c r="W7"/>
      <c r="X7"/>
    </row>
    <row r="8" spans="2:24">
      <c r="B8" s="162" t="s">
        <v>445</v>
      </c>
      <c r="C8" s="163">
        <f>C7</f>
        <v>16.017713155719978</v>
      </c>
      <c r="D8" s="163">
        <f>D7</f>
        <v>19.632691439181581</v>
      </c>
      <c r="E8" s="164"/>
      <c r="F8" s="150"/>
      <c r="G8" s="163">
        <f>G7</f>
        <v>16.017713155719978</v>
      </c>
      <c r="H8" s="163">
        <f>H7</f>
        <v>19.632691439181581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4">
      <c r="B9" s="152"/>
      <c r="C9" s="152"/>
      <c r="D9" s="152"/>
      <c r="E9" s="151"/>
      <c r="F9" s="150"/>
      <c r="G9" s="152"/>
      <c r="H9" s="152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4">
      <c r="B10" s="159" t="s">
        <v>300</v>
      </c>
      <c r="C10" s="159"/>
      <c r="D10" s="159"/>
      <c r="E10" s="151"/>
      <c r="F10" s="150"/>
      <c r="G10" s="159"/>
      <c r="H10" s="15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4">
      <c r="B11" s="159" t="s">
        <v>268</v>
      </c>
      <c r="C11" s="165"/>
      <c r="D11" s="165"/>
      <c r="E11" s="151"/>
      <c r="F11" s="150"/>
      <c r="G11" s="165"/>
      <c r="H11" s="16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4">
      <c r="B12" s="166" t="s">
        <v>446</v>
      </c>
      <c r="C12" s="161">
        <f>G12</f>
        <v>8.8438529999999993</v>
      </c>
      <c r="D12" s="161">
        <f>H12</f>
        <v>15.025986</v>
      </c>
      <c r="E12" s="167"/>
      <c r="F12" s="150"/>
      <c r="G12" s="168">
        <f>'Reduced Vehicle Crashes'!M58/10^6</f>
        <v>8.8438529999999993</v>
      </c>
      <c r="H12" s="168">
        <f>'Reduced Vehicle Crashes'!N58/10^6</f>
        <v>15.025986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4">
      <c r="B13" s="169" t="s">
        <v>447</v>
      </c>
      <c r="C13" s="163">
        <f>SUM(C12:C12)</f>
        <v>8.8438529999999993</v>
      </c>
      <c r="D13" s="163">
        <f>SUM(D12:D12)</f>
        <v>15.025986</v>
      </c>
      <c r="E13" s="170"/>
      <c r="F13" s="150"/>
      <c r="G13" s="163">
        <f>SUM(G12:G12)</f>
        <v>8.8438529999999993</v>
      </c>
      <c r="H13" s="163">
        <f>SUM(H12:H12)</f>
        <v>15.025986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4">
      <c r="B14" s="159" t="s">
        <v>448</v>
      </c>
      <c r="C14" s="159"/>
      <c r="D14" s="159"/>
      <c r="E14" s="151"/>
      <c r="F14" s="150"/>
      <c r="G14" s="159"/>
      <c r="H14" s="15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4">
      <c r="B15" s="168" t="s">
        <v>449</v>
      </c>
      <c r="C15" s="161">
        <f>G15</f>
        <v>7.4114440000000004</v>
      </c>
      <c r="D15" s="161">
        <f>H15</f>
        <v>12.880795000000001</v>
      </c>
      <c r="E15" s="167"/>
      <c r="F15" s="150"/>
      <c r="G15" s="168">
        <f>'Fiber 3rd Party'!D60/10^6</f>
        <v>7.4114440000000004</v>
      </c>
      <c r="H15" s="168">
        <f>'Fiber 3rd Party'!E60/10^6</f>
        <v>12.880795000000001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4" hidden="1">
      <c r="B16" s="168" t="s">
        <v>450</v>
      </c>
      <c r="C16" s="171">
        <v>0</v>
      </c>
      <c r="D16" s="171">
        <v>0</v>
      </c>
      <c r="E16" s="167"/>
      <c r="F16" s="150"/>
      <c r="G16" s="172">
        <f>(-AutonomousVehicles!E57+AutonomousVehicles!L57)/10^6</f>
        <v>-87.473814000000004</v>
      </c>
      <c r="H16" s="172">
        <f>(-AutonomousVehicles!M57+AutonomousVehicles!N35)/10^6</f>
        <v>-237.47325900000001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4">
      <c r="B17" s="168" t="s">
        <v>451</v>
      </c>
      <c r="C17" s="161">
        <f>G17</f>
        <v>76.120632999999998</v>
      </c>
      <c r="D17" s="161">
        <f>H17</f>
        <v>133.480659</v>
      </c>
      <c r="E17" s="167"/>
      <c r="F17" s="150"/>
      <c r="G17" s="168">
        <f>'ICM Reliability'!L38/10^6</f>
        <v>76.120632999999998</v>
      </c>
      <c r="H17" s="168">
        <f>'ICM Reliability'!M38/10^6</f>
        <v>133.480659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4">
      <c r="B18" s="168" t="s">
        <v>452</v>
      </c>
      <c r="C18" s="161">
        <f>G18</f>
        <v>0.29458200000000001</v>
      </c>
      <c r="D18" s="161">
        <f>H18</f>
        <v>0.50050499999999998</v>
      </c>
      <c r="E18" s="167"/>
      <c r="F18" s="150"/>
      <c r="G18" s="168">
        <f>'DOT Fiber Savings'!F43/10^6</f>
        <v>0.29458200000000001</v>
      </c>
      <c r="H18" s="168">
        <f>'DOT Fiber Savings'!G43/10^6</f>
        <v>0.50050499999999998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4">
      <c r="B19" s="173" t="s">
        <v>453</v>
      </c>
      <c r="C19" s="174">
        <f>SUM(C15:C18)</f>
        <v>83.826659000000006</v>
      </c>
      <c r="D19" s="174">
        <f>SUM(D15:D18)</f>
        <v>146.86195900000001</v>
      </c>
      <c r="E19" s="170"/>
      <c r="F19" s="150"/>
      <c r="G19" s="174">
        <f>SUM(G15:G18)</f>
        <v>-3.6471550000000033</v>
      </c>
      <c r="H19" s="174">
        <f>SUM(H15:H18)</f>
        <v>-90.6113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4" ht="6" customHeight="1">
      <c r="B20" s="159"/>
      <c r="C20" s="165"/>
      <c r="D20" s="165"/>
      <c r="E20" s="170"/>
      <c r="F20" s="150"/>
      <c r="G20" s="175"/>
      <c r="H20" s="17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4">
      <c r="B21" s="176" t="s">
        <v>454</v>
      </c>
      <c r="C21" s="177">
        <f>G21</f>
        <v>-1.3463670000000001</v>
      </c>
      <c r="D21" s="177">
        <f>H21</f>
        <v>-2.7675589999999999</v>
      </c>
      <c r="E21" s="178"/>
      <c r="F21" s="150"/>
      <c r="G21" s="179">
        <f>-Costs!R38/10^6</f>
        <v>-1.3463670000000001</v>
      </c>
      <c r="H21" s="179">
        <f>-Costs!S38/10^6</f>
        <v>-2.7675589999999999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4" s="180" customFormat="1">
      <c r="B22" s="181" t="s">
        <v>455</v>
      </c>
      <c r="C22" s="163">
        <f>C21</f>
        <v>-1.3463670000000001</v>
      </c>
      <c r="D22" s="163">
        <f>D21</f>
        <v>-2.7675589999999999</v>
      </c>
      <c r="E22" s="170"/>
      <c r="F22" s="182"/>
      <c r="G22" s="163">
        <f>G21</f>
        <v>-1.3463670000000001</v>
      </c>
      <c r="H22" s="163">
        <f>H21</f>
        <v>-2.7675589999999999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/>
      <c r="X22"/>
    </row>
    <row r="23" spans="2:24" ht="6.75" customHeight="1">
      <c r="B23" s="63"/>
      <c r="C23" s="63"/>
      <c r="D23" s="63"/>
      <c r="E23" s="183"/>
      <c r="F23" s="150"/>
      <c r="G23" s="63"/>
      <c r="H23" s="6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4">
      <c r="B24" s="184" t="s">
        <v>456</v>
      </c>
      <c r="C24" s="163">
        <f>SUM(C19,C13,C22)</f>
        <v>91.324145000000001</v>
      </c>
      <c r="D24" s="163">
        <f>SUM(D19,D13,D22)</f>
        <v>159.120386</v>
      </c>
      <c r="E24" s="185"/>
      <c r="F24" s="150"/>
      <c r="G24" s="163">
        <f>SUM(G19,G13,G22)</f>
        <v>3.8503309999999962</v>
      </c>
      <c r="H24" s="163">
        <f>SUM(H19,H13,H22)</f>
        <v>-78.352873000000002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4">
      <c r="B25" s="152"/>
      <c r="C25" s="152"/>
      <c r="D25" s="152"/>
      <c r="E25" s="151"/>
      <c r="F25" s="150"/>
      <c r="G25" s="152"/>
      <c r="H25" s="15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4">
      <c r="B26" s="186" t="s">
        <v>457</v>
      </c>
      <c r="C26" s="187">
        <f>C24/C8</f>
        <v>5.7014471486766416</v>
      </c>
      <c r="D26" s="187">
        <f>D24/D8</f>
        <v>8.1048686825708689</v>
      </c>
      <c r="E26" s="151"/>
      <c r="F26" s="150"/>
      <c r="G26" s="187">
        <f>G24/G8</f>
        <v>0.24037956995284501</v>
      </c>
      <c r="H26" s="187">
        <f>H24/H8</f>
        <v>-3.990938952141259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4">
      <c r="B27" s="186" t="s">
        <v>458</v>
      </c>
      <c r="C27" s="188">
        <f>C24-C8</f>
        <v>75.306431844280027</v>
      </c>
      <c r="D27" s="188">
        <f>D24-D8</f>
        <v>139.48769456081843</v>
      </c>
      <c r="E27" s="151"/>
      <c r="F27" s="150"/>
      <c r="G27" s="188">
        <f>G24-G8</f>
        <v>-12.167382155719981</v>
      </c>
      <c r="H27" s="188">
        <f>H24-H8</f>
        <v>-97.985564439181587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4">
      <c r="B28" s="16"/>
      <c r="C28" s="16"/>
      <c r="D28" s="16"/>
      <c r="E28" s="151"/>
      <c r="F28" s="15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4" hidden="1">
      <c r="B29" s="88"/>
      <c r="C29" s="88"/>
      <c r="D29" s="88"/>
      <c r="E29" s="88"/>
      <c r="F29" s="15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4" hidden="1"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4">
      <c r="E31"/>
      <c r="F3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4">
      <c r="E32"/>
      <c r="F3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1:22"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1:22"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</sheetData>
  <sheetProtection algorithmName="SHA-512" hashValue="+tNgXb9a+PbbssZApN3sFqWqCgCwxcchDUTFX4jDIDIIE3Agl2h2QyTXrAFRFJPv8yvnxeUtNn1u8SWrdfBs7w==" saltValue="bNg5J+FRvFFkTzfn1t+D9A==" spinCount="100000" sheet="1" objects="1" scenarios="1"/>
  <mergeCells count="6">
    <mergeCell ref="C2:D2"/>
    <mergeCell ref="G2:H2"/>
    <mergeCell ref="C3:D3"/>
    <mergeCell ref="G3:H3"/>
    <mergeCell ref="C4:D4"/>
    <mergeCell ref="G4:H4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0A37A-4DEC-4BE3-9408-F689FCB1ACEA}">
  <dimension ref="A1:P92"/>
  <sheetViews>
    <sheetView workbookViewId="0">
      <selection activeCell="L24" sqref="L24"/>
    </sheetView>
  </sheetViews>
  <sheetFormatPr defaultRowHeight="15"/>
  <cols>
    <col min="1" max="1" width="15.7109375" style="1" customWidth="1"/>
    <col min="2" max="16" width="11.7109375" customWidth="1"/>
    <col min="257" max="257" width="15.7109375" customWidth="1"/>
    <col min="258" max="272" width="11.7109375" customWidth="1"/>
    <col min="513" max="513" width="15.7109375" customWidth="1"/>
    <col min="514" max="528" width="11.7109375" customWidth="1"/>
    <col min="769" max="769" width="15.7109375" customWidth="1"/>
    <col min="770" max="784" width="11.7109375" customWidth="1"/>
    <col min="1025" max="1025" width="15.7109375" customWidth="1"/>
    <col min="1026" max="1040" width="11.7109375" customWidth="1"/>
    <col min="1281" max="1281" width="15.7109375" customWidth="1"/>
    <col min="1282" max="1296" width="11.7109375" customWidth="1"/>
    <col min="1537" max="1537" width="15.7109375" customWidth="1"/>
    <col min="1538" max="1552" width="11.7109375" customWidth="1"/>
    <col min="1793" max="1793" width="15.7109375" customWidth="1"/>
    <col min="1794" max="1808" width="11.7109375" customWidth="1"/>
    <col min="2049" max="2049" width="15.7109375" customWidth="1"/>
    <col min="2050" max="2064" width="11.7109375" customWidth="1"/>
    <col min="2305" max="2305" width="15.7109375" customWidth="1"/>
    <col min="2306" max="2320" width="11.7109375" customWidth="1"/>
    <col min="2561" max="2561" width="15.7109375" customWidth="1"/>
    <col min="2562" max="2576" width="11.7109375" customWidth="1"/>
    <col min="2817" max="2817" width="15.7109375" customWidth="1"/>
    <col min="2818" max="2832" width="11.7109375" customWidth="1"/>
    <col min="3073" max="3073" width="15.7109375" customWidth="1"/>
    <col min="3074" max="3088" width="11.7109375" customWidth="1"/>
    <col min="3329" max="3329" width="15.7109375" customWidth="1"/>
    <col min="3330" max="3344" width="11.7109375" customWidth="1"/>
    <col min="3585" max="3585" width="15.7109375" customWidth="1"/>
    <col min="3586" max="3600" width="11.7109375" customWidth="1"/>
    <col min="3841" max="3841" width="15.7109375" customWidth="1"/>
    <col min="3842" max="3856" width="11.7109375" customWidth="1"/>
    <col min="4097" max="4097" width="15.7109375" customWidth="1"/>
    <col min="4098" max="4112" width="11.7109375" customWidth="1"/>
    <col min="4353" max="4353" width="15.7109375" customWidth="1"/>
    <col min="4354" max="4368" width="11.7109375" customWidth="1"/>
    <col min="4609" max="4609" width="15.7109375" customWidth="1"/>
    <col min="4610" max="4624" width="11.7109375" customWidth="1"/>
    <col min="4865" max="4865" width="15.7109375" customWidth="1"/>
    <col min="4866" max="4880" width="11.7109375" customWidth="1"/>
    <col min="5121" max="5121" width="15.7109375" customWidth="1"/>
    <col min="5122" max="5136" width="11.7109375" customWidth="1"/>
    <col min="5377" max="5377" width="15.7109375" customWidth="1"/>
    <col min="5378" max="5392" width="11.7109375" customWidth="1"/>
    <col min="5633" max="5633" width="15.7109375" customWidth="1"/>
    <col min="5634" max="5648" width="11.7109375" customWidth="1"/>
    <col min="5889" max="5889" width="15.7109375" customWidth="1"/>
    <col min="5890" max="5904" width="11.7109375" customWidth="1"/>
    <col min="6145" max="6145" width="15.7109375" customWidth="1"/>
    <col min="6146" max="6160" width="11.7109375" customWidth="1"/>
    <col min="6401" max="6401" width="15.7109375" customWidth="1"/>
    <col min="6402" max="6416" width="11.7109375" customWidth="1"/>
    <col min="6657" max="6657" width="15.7109375" customWidth="1"/>
    <col min="6658" max="6672" width="11.7109375" customWidth="1"/>
    <col min="6913" max="6913" width="15.7109375" customWidth="1"/>
    <col min="6914" max="6928" width="11.7109375" customWidth="1"/>
    <col min="7169" max="7169" width="15.7109375" customWidth="1"/>
    <col min="7170" max="7184" width="11.7109375" customWidth="1"/>
    <col min="7425" max="7425" width="15.7109375" customWidth="1"/>
    <col min="7426" max="7440" width="11.7109375" customWidth="1"/>
    <col min="7681" max="7681" width="15.7109375" customWidth="1"/>
    <col min="7682" max="7696" width="11.7109375" customWidth="1"/>
    <col min="7937" max="7937" width="15.7109375" customWidth="1"/>
    <col min="7938" max="7952" width="11.7109375" customWidth="1"/>
    <col min="8193" max="8193" width="15.7109375" customWidth="1"/>
    <col min="8194" max="8208" width="11.7109375" customWidth="1"/>
    <col min="8449" max="8449" width="15.7109375" customWidth="1"/>
    <col min="8450" max="8464" width="11.7109375" customWidth="1"/>
    <col min="8705" max="8705" width="15.7109375" customWidth="1"/>
    <col min="8706" max="8720" width="11.7109375" customWidth="1"/>
    <col min="8961" max="8961" width="15.7109375" customWidth="1"/>
    <col min="8962" max="8976" width="11.7109375" customWidth="1"/>
    <col min="9217" max="9217" width="15.7109375" customWidth="1"/>
    <col min="9218" max="9232" width="11.7109375" customWidth="1"/>
    <col min="9473" max="9473" width="15.7109375" customWidth="1"/>
    <col min="9474" max="9488" width="11.7109375" customWidth="1"/>
    <col min="9729" max="9729" width="15.7109375" customWidth="1"/>
    <col min="9730" max="9744" width="11.7109375" customWidth="1"/>
    <col min="9985" max="9985" width="15.7109375" customWidth="1"/>
    <col min="9986" max="10000" width="11.7109375" customWidth="1"/>
    <col min="10241" max="10241" width="15.7109375" customWidth="1"/>
    <col min="10242" max="10256" width="11.7109375" customWidth="1"/>
    <col min="10497" max="10497" width="15.7109375" customWidth="1"/>
    <col min="10498" max="10512" width="11.7109375" customWidth="1"/>
    <col min="10753" max="10753" width="15.7109375" customWidth="1"/>
    <col min="10754" max="10768" width="11.7109375" customWidth="1"/>
    <col min="11009" max="11009" width="15.7109375" customWidth="1"/>
    <col min="11010" max="11024" width="11.7109375" customWidth="1"/>
    <col min="11265" max="11265" width="15.7109375" customWidth="1"/>
    <col min="11266" max="11280" width="11.7109375" customWidth="1"/>
    <col min="11521" max="11521" width="15.7109375" customWidth="1"/>
    <col min="11522" max="11536" width="11.7109375" customWidth="1"/>
    <col min="11777" max="11777" width="15.7109375" customWidth="1"/>
    <col min="11778" max="11792" width="11.7109375" customWidth="1"/>
    <col min="12033" max="12033" width="15.7109375" customWidth="1"/>
    <col min="12034" max="12048" width="11.7109375" customWidth="1"/>
    <col min="12289" max="12289" width="15.7109375" customWidth="1"/>
    <col min="12290" max="12304" width="11.7109375" customWidth="1"/>
    <col min="12545" max="12545" width="15.7109375" customWidth="1"/>
    <col min="12546" max="12560" width="11.7109375" customWidth="1"/>
    <col min="12801" max="12801" width="15.7109375" customWidth="1"/>
    <col min="12802" max="12816" width="11.7109375" customWidth="1"/>
    <col min="13057" max="13057" width="15.7109375" customWidth="1"/>
    <col min="13058" max="13072" width="11.7109375" customWidth="1"/>
    <col min="13313" max="13313" width="15.7109375" customWidth="1"/>
    <col min="13314" max="13328" width="11.7109375" customWidth="1"/>
    <col min="13569" max="13569" width="15.7109375" customWidth="1"/>
    <col min="13570" max="13584" width="11.7109375" customWidth="1"/>
    <col min="13825" max="13825" width="15.7109375" customWidth="1"/>
    <col min="13826" max="13840" width="11.7109375" customWidth="1"/>
    <col min="14081" max="14081" width="15.7109375" customWidth="1"/>
    <col min="14082" max="14096" width="11.7109375" customWidth="1"/>
    <col min="14337" max="14337" width="15.7109375" customWidth="1"/>
    <col min="14338" max="14352" width="11.7109375" customWidth="1"/>
    <col min="14593" max="14593" width="15.7109375" customWidth="1"/>
    <col min="14594" max="14608" width="11.7109375" customWidth="1"/>
    <col min="14849" max="14849" width="15.7109375" customWidth="1"/>
    <col min="14850" max="14864" width="11.7109375" customWidth="1"/>
    <col min="15105" max="15105" width="15.7109375" customWidth="1"/>
    <col min="15106" max="15120" width="11.7109375" customWidth="1"/>
    <col min="15361" max="15361" width="15.7109375" customWidth="1"/>
    <col min="15362" max="15376" width="11.7109375" customWidth="1"/>
    <col min="15617" max="15617" width="15.7109375" customWidth="1"/>
    <col min="15618" max="15632" width="11.7109375" customWidth="1"/>
    <col min="15873" max="15873" width="15.7109375" customWidth="1"/>
    <col min="15874" max="15888" width="11.7109375" customWidth="1"/>
    <col min="16129" max="16129" width="15.7109375" customWidth="1"/>
    <col min="16130" max="16144" width="11.7109375" customWidth="1"/>
  </cols>
  <sheetData>
    <row r="1" spans="1:16" s="1" customFormat="1" ht="15" customHeight="1">
      <c r="A1" s="227" t="s">
        <v>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6" s="1" customFormat="1" ht="14.25" customHeight="1">
      <c r="A2" s="228" t="s">
        <v>2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6" s="1" customFormat="1" ht="15" customHeight="1">
      <c r="A3" s="229" t="s">
        <v>3</v>
      </c>
      <c r="B3" s="232" t="s">
        <v>4</v>
      </c>
      <c r="C3" s="232" t="s">
        <v>5</v>
      </c>
      <c r="D3" s="235" t="s">
        <v>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s="1" customFormat="1" ht="30" customHeight="1">
      <c r="A4" s="230"/>
      <c r="B4" s="233"/>
      <c r="C4" s="233"/>
      <c r="D4" s="232" t="s">
        <v>7</v>
      </c>
      <c r="E4" s="232" t="s">
        <v>8</v>
      </c>
      <c r="F4" s="232" t="s">
        <v>9</v>
      </c>
      <c r="G4" s="235" t="s">
        <v>10</v>
      </c>
      <c r="H4" s="236"/>
      <c r="I4" s="237"/>
      <c r="J4" s="232" t="s">
        <v>11</v>
      </c>
      <c r="K4" s="232" t="s">
        <v>12</v>
      </c>
      <c r="L4" s="232" t="s">
        <v>13</v>
      </c>
      <c r="M4" s="232" t="s">
        <v>14</v>
      </c>
      <c r="N4" s="235" t="s">
        <v>15</v>
      </c>
      <c r="O4" s="236"/>
      <c r="P4" s="236"/>
    </row>
    <row r="5" spans="1:16" s="1" customFormat="1" ht="30">
      <c r="A5" s="231"/>
      <c r="B5" s="234"/>
      <c r="C5" s="234"/>
      <c r="D5" s="234"/>
      <c r="E5" s="234"/>
      <c r="F5" s="234"/>
      <c r="G5" s="2" t="s">
        <v>7</v>
      </c>
      <c r="H5" s="2" t="s">
        <v>16</v>
      </c>
      <c r="I5" s="2" t="s">
        <v>17</v>
      </c>
      <c r="J5" s="234"/>
      <c r="K5" s="234"/>
      <c r="L5" s="234"/>
      <c r="M5" s="234"/>
      <c r="N5" s="2" t="s">
        <v>7</v>
      </c>
      <c r="O5" s="2" t="s">
        <v>18</v>
      </c>
      <c r="P5" s="2" t="s">
        <v>19</v>
      </c>
    </row>
    <row r="6" spans="1:16" s="1" customFormat="1" ht="14.25">
      <c r="A6" s="3" t="s">
        <v>20</v>
      </c>
      <c r="B6" s="4">
        <v>98.2</v>
      </c>
      <c r="C6" s="5">
        <v>8.09E-2</v>
      </c>
      <c r="D6" s="5">
        <v>6.9699999999999998E-2</v>
      </c>
      <c r="E6" s="5">
        <v>6.5100000000000005E-2</v>
      </c>
      <c r="F6" s="5">
        <v>7.0699999999999999E-2</v>
      </c>
      <c r="G6" s="5">
        <v>7.8799999999999995E-2</v>
      </c>
      <c r="H6" s="5">
        <v>7.8799999999999995E-2</v>
      </c>
      <c r="I6" s="5">
        <v>7.8799999999999995E-2</v>
      </c>
      <c r="J6" s="5">
        <v>4.9299999999999997E-2</v>
      </c>
      <c r="K6" s="5">
        <v>8.09E-2</v>
      </c>
      <c r="L6" s="5">
        <v>4.7699999999999999E-2</v>
      </c>
      <c r="M6" s="5">
        <v>6.7400000000000002E-2</v>
      </c>
      <c r="N6" s="5">
        <v>0.14480000000000001</v>
      </c>
      <c r="O6" s="5">
        <v>0.1484</v>
      </c>
      <c r="P6" s="5">
        <v>0.14330000000000001</v>
      </c>
    </row>
    <row r="7" spans="1:16" s="1" customFormat="1" ht="14.25">
      <c r="A7" s="3" t="s">
        <v>21</v>
      </c>
      <c r="B7" s="4">
        <v>116.2</v>
      </c>
      <c r="C7" s="5">
        <v>8.4000000000000005E-2</v>
      </c>
      <c r="D7" s="5">
        <v>7.6899999999999996E-2</v>
      </c>
      <c r="E7" s="5">
        <v>8.0100000000000005E-2</v>
      </c>
      <c r="F7" s="5">
        <v>7.4300000000000005E-2</v>
      </c>
      <c r="G7" s="5">
        <v>8.1500000000000003E-2</v>
      </c>
      <c r="H7" s="5">
        <v>8.1500000000000003E-2</v>
      </c>
      <c r="I7" s="5">
        <v>8.1500000000000003E-2</v>
      </c>
      <c r="J7" s="5">
        <v>4.4600000000000001E-2</v>
      </c>
      <c r="K7" s="5">
        <v>8.4000000000000005E-2</v>
      </c>
      <c r="L7" s="5">
        <v>4.7399999999999998E-2</v>
      </c>
      <c r="M7" s="5">
        <v>6.88E-2</v>
      </c>
      <c r="N7" s="5">
        <v>0.15479999999999999</v>
      </c>
      <c r="O7" s="5">
        <v>0.1573</v>
      </c>
      <c r="P7" s="5">
        <v>0.14899999999999999</v>
      </c>
    </row>
    <row r="8" spans="1:16" s="1" customFormat="1" ht="14.25">
      <c r="A8" s="3" t="s">
        <v>22</v>
      </c>
      <c r="B8" s="4">
        <v>147.69999999999999</v>
      </c>
      <c r="C8" s="5">
        <v>9.0200000000000002E-2</v>
      </c>
      <c r="D8" s="5">
        <v>8.72E-2</v>
      </c>
      <c r="E8" s="5">
        <v>9.7600000000000006E-2</v>
      </c>
      <c r="F8" s="5">
        <v>6.7799999999999999E-2</v>
      </c>
      <c r="G8" s="5">
        <v>8.9200000000000002E-2</v>
      </c>
      <c r="H8" s="5">
        <v>8.9200000000000002E-2</v>
      </c>
      <c r="I8" s="5">
        <v>8.9200000000000002E-2</v>
      </c>
      <c r="J8" s="5">
        <v>4.3700000000000003E-2</v>
      </c>
      <c r="K8" s="5">
        <v>9.0200000000000002E-2</v>
      </c>
      <c r="L8" s="5">
        <v>5.0900000000000001E-2</v>
      </c>
      <c r="M8" s="5">
        <v>5.9499999999999997E-2</v>
      </c>
      <c r="N8" s="5">
        <v>0.16139999999999999</v>
      </c>
      <c r="O8" s="5">
        <v>0.16159999999999999</v>
      </c>
      <c r="P8" s="5">
        <v>0.15809999999999999</v>
      </c>
    </row>
    <row r="9" spans="1:16" s="1" customFormat="1" ht="14.25">
      <c r="A9" s="3" t="s">
        <v>23</v>
      </c>
      <c r="B9" s="4">
        <v>184.6</v>
      </c>
      <c r="C9" s="5">
        <v>9.6100000000000005E-2</v>
      </c>
      <c r="D9" s="5">
        <v>9.64E-2</v>
      </c>
      <c r="E9" s="5">
        <v>0.1045</v>
      </c>
      <c r="F9" s="5">
        <v>6.7100000000000007E-2</v>
      </c>
      <c r="G9" s="5">
        <v>9.8799999999999999E-2</v>
      </c>
      <c r="H9" s="5">
        <v>9.8799999999999999E-2</v>
      </c>
      <c r="I9" s="5">
        <v>9.8799999999999999E-2</v>
      </c>
      <c r="J9" s="5">
        <v>4.6899999999999997E-2</v>
      </c>
      <c r="K9" s="5">
        <v>9.6100000000000005E-2</v>
      </c>
      <c r="L9" s="5">
        <v>5.57E-2</v>
      </c>
      <c r="M9" s="5">
        <v>5.8400000000000001E-2</v>
      </c>
      <c r="N9" s="5">
        <v>0.15820000000000001</v>
      </c>
      <c r="O9" s="5">
        <v>0.15820000000000001</v>
      </c>
      <c r="P9" s="5">
        <v>0.1585</v>
      </c>
    </row>
    <row r="10" spans="1:16" s="1" customFormat="1" ht="14.25">
      <c r="A10" s="3" t="s">
        <v>24</v>
      </c>
      <c r="B10" s="4">
        <v>213.8</v>
      </c>
      <c r="C10" s="5">
        <v>9.9500000000000005E-2</v>
      </c>
      <c r="D10" s="5">
        <v>8.8700000000000001E-2</v>
      </c>
      <c r="E10" s="5">
        <v>9.1800000000000007E-2</v>
      </c>
      <c r="F10" s="5">
        <v>7.2599999999999998E-2</v>
      </c>
      <c r="G10" s="5">
        <v>0.1061</v>
      </c>
      <c r="H10" s="5">
        <v>0.1061</v>
      </c>
      <c r="I10" s="5">
        <v>0.1061</v>
      </c>
      <c r="J10" s="5">
        <v>4.9799999999999997E-2</v>
      </c>
      <c r="K10" s="5">
        <v>9.9500000000000005E-2</v>
      </c>
      <c r="L10" s="5">
        <v>6.1400000000000003E-2</v>
      </c>
      <c r="M10" s="5">
        <v>6.2399999999999997E-2</v>
      </c>
      <c r="N10" s="5">
        <v>0.15359999999999999</v>
      </c>
      <c r="O10" s="5">
        <v>0.15359999999999999</v>
      </c>
      <c r="P10" s="5">
        <v>0.16250000000000001</v>
      </c>
    </row>
    <row r="11" spans="1:16" s="1" customFormat="1" ht="14.25">
      <c r="A11" s="3" t="s">
        <v>25</v>
      </c>
      <c r="B11" s="4">
        <v>226.4</v>
      </c>
      <c r="C11" s="5">
        <v>0.1019</v>
      </c>
      <c r="D11" s="5">
        <v>8.3400000000000002E-2</v>
      </c>
      <c r="E11" s="5">
        <v>8.3500000000000005E-2</v>
      </c>
      <c r="F11" s="5">
        <v>8.3099999999999993E-2</v>
      </c>
      <c r="G11" s="5">
        <v>0.1115</v>
      </c>
      <c r="H11" s="5">
        <v>0.1116</v>
      </c>
      <c r="I11" s="5">
        <v>0.1113</v>
      </c>
      <c r="J11" s="5">
        <v>5.0299999999999997E-2</v>
      </c>
      <c r="K11" s="5">
        <v>0.1019</v>
      </c>
      <c r="L11" s="5">
        <v>6.4699999999999994E-2</v>
      </c>
      <c r="M11" s="5">
        <v>6.6299999999999998E-2</v>
      </c>
      <c r="N11" s="5">
        <v>0.14330000000000001</v>
      </c>
      <c r="O11" s="5">
        <v>0.14319999999999999</v>
      </c>
      <c r="P11" s="5">
        <v>0.1668</v>
      </c>
    </row>
    <row r="12" spans="1:16" s="1" customFormat="1" ht="14.25">
      <c r="A12" s="3" t="s">
        <v>26</v>
      </c>
      <c r="B12" s="4">
        <v>228</v>
      </c>
      <c r="C12" s="5">
        <v>0.10970000000000001</v>
      </c>
      <c r="D12" s="5">
        <v>8.4199999999999997E-2</v>
      </c>
      <c r="E12" s="5">
        <v>8.0100000000000005E-2</v>
      </c>
      <c r="F12" s="5">
        <v>0.1019</v>
      </c>
      <c r="G12" s="5">
        <v>0.1176</v>
      </c>
      <c r="H12" s="5">
        <v>0.1176</v>
      </c>
      <c r="I12" s="5">
        <v>0.1174</v>
      </c>
      <c r="J12" s="5">
        <v>5.5500000000000001E-2</v>
      </c>
      <c r="K12" s="5">
        <v>0.10970000000000001</v>
      </c>
      <c r="L12" s="5">
        <v>6.7299999999999999E-2</v>
      </c>
      <c r="M12" s="5">
        <v>7.1900000000000006E-2</v>
      </c>
      <c r="N12" s="5">
        <v>0.14549999999999999</v>
      </c>
      <c r="O12" s="5">
        <v>0.14510000000000001</v>
      </c>
      <c r="P12" s="5">
        <v>0.1643</v>
      </c>
    </row>
    <row r="13" spans="1:16" s="1" customFormat="1" ht="14.25">
      <c r="A13" s="3" t="s">
        <v>27</v>
      </c>
      <c r="B13" s="4">
        <v>238.9</v>
      </c>
      <c r="C13" s="5">
        <v>0.1216</v>
      </c>
      <c r="D13" s="5">
        <v>9.5600000000000004E-2</v>
      </c>
      <c r="E13" s="5">
        <v>8.6599999999999996E-2</v>
      </c>
      <c r="F13" s="5">
        <v>0.1019</v>
      </c>
      <c r="G13" s="5">
        <v>0.12640000000000001</v>
      </c>
      <c r="H13" s="5">
        <v>0.12640000000000001</v>
      </c>
      <c r="I13" s="5">
        <v>0.1263</v>
      </c>
      <c r="J13" s="5">
        <v>0.13089999999999999</v>
      </c>
      <c r="K13" s="5">
        <v>0.1216</v>
      </c>
      <c r="L13" s="5">
        <v>7.1300000000000002E-2</v>
      </c>
      <c r="M13" s="5">
        <v>7.4099999999999999E-2</v>
      </c>
      <c r="N13" s="5">
        <v>0.16239999999999999</v>
      </c>
      <c r="O13" s="5">
        <v>0.16159999999999999</v>
      </c>
      <c r="P13" s="5">
        <v>0.16700000000000001</v>
      </c>
    </row>
    <row r="14" spans="1:16" s="1" customFormat="1" ht="14.25">
      <c r="A14" s="3" t="s">
        <v>28</v>
      </c>
      <c r="B14" s="4">
        <v>262.39999999999998</v>
      </c>
      <c r="C14" s="5">
        <v>0.1331</v>
      </c>
      <c r="D14" s="5">
        <v>9.9400000000000002E-2</v>
      </c>
      <c r="E14" s="5">
        <v>8.1199999999999994E-2</v>
      </c>
      <c r="F14" s="5">
        <v>0.1103</v>
      </c>
      <c r="G14" s="5">
        <v>0.13800000000000001</v>
      </c>
      <c r="H14" s="5">
        <v>0.13800000000000001</v>
      </c>
      <c r="I14" s="5">
        <v>0.13789999999999999</v>
      </c>
      <c r="J14" s="5">
        <v>7.51E-2</v>
      </c>
      <c r="K14" s="5">
        <v>0.1331</v>
      </c>
      <c r="L14" s="5">
        <v>7.7100000000000002E-2</v>
      </c>
      <c r="M14" s="5">
        <v>8.1600000000000006E-2</v>
      </c>
      <c r="N14" s="5">
        <v>0.18</v>
      </c>
      <c r="O14" s="5">
        <v>0.17730000000000001</v>
      </c>
      <c r="P14" s="5">
        <v>0.1903</v>
      </c>
    </row>
    <row r="15" spans="1:16" s="1" customFormat="1" ht="14.25">
      <c r="A15" s="3" t="s">
        <v>29</v>
      </c>
      <c r="B15" s="4">
        <v>276.8</v>
      </c>
      <c r="C15" s="5">
        <v>0.13750000000000001</v>
      </c>
      <c r="D15" s="5">
        <v>9.5799999999999996E-2</v>
      </c>
      <c r="E15" s="5">
        <v>8.1000000000000003E-2</v>
      </c>
      <c r="F15" s="5">
        <v>0.1056</v>
      </c>
      <c r="G15" s="5">
        <v>0.14169999999999999</v>
      </c>
      <c r="H15" s="5">
        <v>0.14180000000000001</v>
      </c>
      <c r="I15" s="5">
        <v>0.1416</v>
      </c>
      <c r="J15" s="5">
        <v>7.9100000000000004E-2</v>
      </c>
      <c r="K15" s="5">
        <v>0.13750000000000001</v>
      </c>
      <c r="L15" s="5">
        <v>7.4899999999999994E-2</v>
      </c>
      <c r="M15" s="5">
        <v>7.9500000000000001E-2</v>
      </c>
      <c r="N15" s="5">
        <v>0.19020000000000001</v>
      </c>
      <c r="O15" s="5">
        <v>0.18679999999999999</v>
      </c>
      <c r="P15" s="5">
        <v>0.19850000000000001</v>
      </c>
    </row>
    <row r="16" spans="1:16" s="1" customFormat="1" ht="14.25">
      <c r="A16" s="3" t="s">
        <v>30</v>
      </c>
      <c r="B16" s="4">
        <v>279</v>
      </c>
      <c r="C16" s="5">
        <v>0.13550000000000001</v>
      </c>
      <c r="D16" s="5">
        <v>0.10050000000000001</v>
      </c>
      <c r="E16" s="5">
        <v>8.1799999999999998E-2</v>
      </c>
      <c r="F16" s="5">
        <v>0.11269999999999999</v>
      </c>
      <c r="G16" s="5">
        <v>0.1399</v>
      </c>
      <c r="H16" s="5">
        <v>0.14000000000000001</v>
      </c>
      <c r="I16" s="5">
        <v>0.13950000000000001</v>
      </c>
      <c r="J16" s="5">
        <v>7.4999999999999997E-2</v>
      </c>
      <c r="K16" s="5">
        <v>0.13550000000000001</v>
      </c>
      <c r="L16" s="5">
        <v>7.8899999999999998E-2</v>
      </c>
      <c r="M16" s="5">
        <v>8.48E-2</v>
      </c>
      <c r="N16" s="5">
        <v>0.1867</v>
      </c>
      <c r="O16" s="5">
        <v>0.186</v>
      </c>
      <c r="P16" s="5">
        <v>0.18790000000000001</v>
      </c>
    </row>
    <row r="17" spans="1:16" s="1" customFormat="1" ht="14.25">
      <c r="A17" s="3" t="s">
        <v>31</v>
      </c>
      <c r="B17" s="4">
        <v>327.39999999999998</v>
      </c>
      <c r="C17" s="5">
        <v>0.14280000000000001</v>
      </c>
      <c r="D17" s="5">
        <v>0.1009</v>
      </c>
      <c r="E17" s="5">
        <v>8.6599999999999996E-2</v>
      </c>
      <c r="F17" s="5">
        <v>0.1226</v>
      </c>
      <c r="G17" s="5">
        <v>0.14779999999999999</v>
      </c>
      <c r="H17" s="5">
        <v>0.1479</v>
      </c>
      <c r="I17" s="5">
        <v>0.14729999999999999</v>
      </c>
      <c r="J17" s="5">
        <v>8.9399999999999993E-2</v>
      </c>
      <c r="K17" s="5">
        <v>0.14280000000000001</v>
      </c>
      <c r="L17" s="5">
        <v>7.7799999999999994E-2</v>
      </c>
      <c r="M17" s="5">
        <v>8.6599999999999996E-2</v>
      </c>
      <c r="N17" s="5">
        <v>0.19980000000000001</v>
      </c>
      <c r="O17" s="5">
        <v>0.20030000000000001</v>
      </c>
      <c r="P17" s="5">
        <v>0.1978</v>
      </c>
    </row>
    <row r="18" spans="1:16" s="1" customFormat="1" ht="14.25">
      <c r="A18" s="3" t="s">
        <v>32</v>
      </c>
      <c r="B18" s="4">
        <v>357.5</v>
      </c>
      <c r="C18" s="5">
        <v>0.14849999999999999</v>
      </c>
      <c r="D18" s="5">
        <v>0.10059999999999999</v>
      </c>
      <c r="E18" s="5">
        <v>9.01E-2</v>
      </c>
      <c r="F18" s="5">
        <v>0.13389999999999999</v>
      </c>
      <c r="G18" s="5">
        <v>0.1537</v>
      </c>
      <c r="H18" s="5">
        <v>0.1537</v>
      </c>
      <c r="I18" s="5">
        <v>0.1532</v>
      </c>
      <c r="J18" s="5">
        <v>8.9899999999999994E-2</v>
      </c>
      <c r="K18" s="5">
        <v>0.14849999999999999</v>
      </c>
      <c r="L18" s="5">
        <v>8.3799999999999999E-2</v>
      </c>
      <c r="M18" s="5">
        <v>9.4399999999999998E-2</v>
      </c>
      <c r="N18" s="5">
        <v>0.2094</v>
      </c>
      <c r="O18" s="5">
        <v>0.2094</v>
      </c>
      <c r="P18" s="5">
        <v>0.20979999999999999</v>
      </c>
    </row>
    <row r="19" spans="1:16" s="1" customFormat="1" ht="14.25">
      <c r="A19" s="3" t="s">
        <v>33</v>
      </c>
      <c r="B19" s="4">
        <v>382.5</v>
      </c>
      <c r="C19" s="5">
        <v>0.1512</v>
      </c>
      <c r="D19" s="5">
        <v>0.108</v>
      </c>
      <c r="E19" s="5">
        <v>9.9299999999999999E-2</v>
      </c>
      <c r="F19" s="5">
        <v>0.13489999999999999</v>
      </c>
      <c r="G19" s="5">
        <v>0.15590000000000001</v>
      </c>
      <c r="H19" s="5">
        <v>0.156</v>
      </c>
      <c r="I19" s="5">
        <v>0.1555</v>
      </c>
      <c r="J19" s="5">
        <v>9.4100000000000003E-2</v>
      </c>
      <c r="K19" s="5">
        <v>0.1512</v>
      </c>
      <c r="L19" s="5">
        <v>8.8700000000000001E-2</v>
      </c>
      <c r="M19" s="5">
        <v>9.9299999999999999E-2</v>
      </c>
      <c r="N19" s="5">
        <v>0.2122</v>
      </c>
      <c r="O19" s="5">
        <v>0.21179999999999999</v>
      </c>
      <c r="P19" s="5">
        <v>0.2177</v>
      </c>
    </row>
    <row r="20" spans="1:16" s="1" customFormat="1" ht="14.25">
      <c r="A20" s="3" t="s">
        <v>34</v>
      </c>
      <c r="B20" s="4">
        <v>387.7</v>
      </c>
      <c r="C20" s="5">
        <v>0.153</v>
      </c>
      <c r="D20" s="5">
        <v>0.11119999999999999</v>
      </c>
      <c r="E20" s="5">
        <v>0.1009</v>
      </c>
      <c r="F20" s="5">
        <v>0.14499999999999999</v>
      </c>
      <c r="G20" s="5">
        <v>0.158</v>
      </c>
      <c r="H20" s="5">
        <v>0.158</v>
      </c>
      <c r="I20" s="5">
        <v>0.1578</v>
      </c>
      <c r="J20" s="5">
        <v>9.0399999999999994E-2</v>
      </c>
      <c r="K20" s="5">
        <v>0.153</v>
      </c>
      <c r="L20" s="5">
        <v>9.1800000000000007E-2</v>
      </c>
      <c r="M20" s="5">
        <v>0.1061</v>
      </c>
      <c r="N20" s="5">
        <v>0.21029999999999999</v>
      </c>
      <c r="O20" s="5">
        <v>0.2099</v>
      </c>
      <c r="P20" s="5">
        <v>0.21629999999999999</v>
      </c>
    </row>
    <row r="21" spans="1:16" s="1" customFormat="1" ht="14.25">
      <c r="A21" s="3" t="s">
        <v>35</v>
      </c>
      <c r="B21" s="4">
        <v>407</v>
      </c>
      <c r="C21" s="5">
        <v>0.1542</v>
      </c>
      <c r="D21" s="5">
        <v>0.11509999999999999</v>
      </c>
      <c r="E21" s="5">
        <v>0.1043</v>
      </c>
      <c r="F21" s="5">
        <v>0.13900000000000001</v>
      </c>
      <c r="G21" s="5">
        <v>0.15790000000000001</v>
      </c>
      <c r="H21" s="5">
        <v>0.15790000000000001</v>
      </c>
      <c r="I21" s="5">
        <v>0.1578</v>
      </c>
      <c r="J21" s="5">
        <v>9.2100000000000001E-2</v>
      </c>
      <c r="K21" s="5">
        <v>0.1542</v>
      </c>
      <c r="L21" s="5">
        <v>9.4299999999999995E-2</v>
      </c>
      <c r="M21" s="5">
        <v>0.1028</v>
      </c>
      <c r="N21" s="5">
        <v>0.2162</v>
      </c>
      <c r="O21" s="5">
        <v>0.2165</v>
      </c>
      <c r="P21" s="5">
        <v>0.21260000000000001</v>
      </c>
    </row>
    <row r="22" spans="1:16" s="1" customFormat="1" ht="14.25">
      <c r="A22" s="3" t="s">
        <v>36</v>
      </c>
      <c r="B22" s="4">
        <v>439</v>
      </c>
      <c r="C22" s="5">
        <v>0.15820000000000001</v>
      </c>
      <c r="D22" s="5">
        <v>0.1202</v>
      </c>
      <c r="E22" s="5">
        <v>0.1105</v>
      </c>
      <c r="F22" s="5">
        <v>0.1386</v>
      </c>
      <c r="G22" s="5">
        <v>0.1598</v>
      </c>
      <c r="H22" s="5">
        <v>0.1598</v>
      </c>
      <c r="I22" s="5">
        <v>0.15970000000000001</v>
      </c>
      <c r="J22" s="5">
        <v>9.3600000000000003E-2</v>
      </c>
      <c r="K22" s="5">
        <v>0.15820000000000001</v>
      </c>
      <c r="L22" s="5">
        <v>9.5399999999999999E-2</v>
      </c>
      <c r="M22" s="5">
        <v>0.1024</v>
      </c>
      <c r="N22" s="5">
        <v>0.22750000000000001</v>
      </c>
      <c r="O22" s="5">
        <v>0.22800000000000001</v>
      </c>
      <c r="P22" s="5">
        <v>0.21859999999999999</v>
      </c>
    </row>
    <row r="23" spans="1:16" s="1" customFormat="1" ht="14.25">
      <c r="A23" s="3" t="s">
        <v>37</v>
      </c>
      <c r="B23" s="4">
        <v>464.2</v>
      </c>
      <c r="C23" s="5">
        <v>0.1641</v>
      </c>
      <c r="D23" s="5">
        <v>0.12609999999999999</v>
      </c>
      <c r="E23" s="5">
        <v>0.11609999999999999</v>
      </c>
      <c r="F23" s="5">
        <v>0.14410000000000001</v>
      </c>
      <c r="G23" s="5">
        <v>0.16439999999999999</v>
      </c>
      <c r="H23" s="5">
        <v>0.16439999999999999</v>
      </c>
      <c r="I23" s="5">
        <v>0.1643</v>
      </c>
      <c r="J23" s="5">
        <v>0.1019</v>
      </c>
      <c r="K23" s="5">
        <v>0.1641</v>
      </c>
      <c r="L23" s="5">
        <v>9.7600000000000006E-2</v>
      </c>
      <c r="M23" s="5">
        <v>0.106</v>
      </c>
      <c r="N23" s="5">
        <v>0.24010000000000001</v>
      </c>
      <c r="O23" s="5">
        <v>0.2409</v>
      </c>
      <c r="P23" s="5">
        <v>0.2291</v>
      </c>
    </row>
    <row r="24" spans="1:16" s="1" customFormat="1" ht="14.25">
      <c r="A24" s="3" t="s">
        <v>38</v>
      </c>
      <c r="B24" s="4">
        <v>474.3</v>
      </c>
      <c r="C24" s="5">
        <v>0.1691</v>
      </c>
      <c r="D24" s="5">
        <v>0.13350000000000001</v>
      </c>
      <c r="E24" s="5">
        <v>0.1216</v>
      </c>
      <c r="F24" s="5">
        <v>0.15329999999999999</v>
      </c>
      <c r="G24" s="5">
        <v>0.16919999999999999</v>
      </c>
      <c r="H24" s="5">
        <v>0.16919999999999999</v>
      </c>
      <c r="I24" s="5">
        <v>0.1691</v>
      </c>
      <c r="J24" s="5">
        <v>0.1128</v>
      </c>
      <c r="K24" s="5">
        <v>0.1691</v>
      </c>
      <c r="L24" s="5">
        <v>0.10440000000000001</v>
      </c>
      <c r="M24" s="5">
        <v>0.115</v>
      </c>
      <c r="N24" s="5">
        <v>0.24779999999999999</v>
      </c>
      <c r="O24" s="5">
        <v>0.2487</v>
      </c>
      <c r="P24" s="5">
        <v>0.23669999999999999</v>
      </c>
    </row>
    <row r="25" spans="1:16" s="1" customFormat="1" ht="14.25">
      <c r="A25" s="3" t="s">
        <v>39</v>
      </c>
      <c r="B25" s="4">
        <v>505.6</v>
      </c>
      <c r="C25" s="5">
        <v>0.17169999999999999</v>
      </c>
      <c r="D25" s="5">
        <v>0.1391</v>
      </c>
      <c r="E25" s="5">
        <v>0.1298</v>
      </c>
      <c r="F25" s="5">
        <v>0.15129999999999999</v>
      </c>
      <c r="G25" s="5">
        <v>0.1716</v>
      </c>
      <c r="H25" s="5">
        <v>0.1716</v>
      </c>
      <c r="I25" s="5">
        <v>0.17150000000000001</v>
      </c>
      <c r="J25" s="5">
        <v>0.11990000000000001</v>
      </c>
      <c r="K25" s="5">
        <v>0.17169999999999999</v>
      </c>
      <c r="L25" s="5">
        <v>0.10970000000000001</v>
      </c>
      <c r="M25" s="5">
        <v>0.1191</v>
      </c>
      <c r="N25" s="5">
        <v>0.25209999999999999</v>
      </c>
      <c r="O25" s="5">
        <v>0.25319999999999998</v>
      </c>
      <c r="P25" s="5">
        <v>0.2402</v>
      </c>
    </row>
    <row r="26" spans="1:16" s="1" customFormat="1" ht="14.25">
      <c r="A26" s="3" t="s">
        <v>40</v>
      </c>
      <c r="B26" s="4">
        <v>535.1</v>
      </c>
      <c r="C26" s="5">
        <v>0.1741</v>
      </c>
      <c r="D26" s="5">
        <v>0.1411</v>
      </c>
      <c r="E26" s="5">
        <v>0.12859999999999999</v>
      </c>
      <c r="F26" s="5">
        <v>0.15790000000000001</v>
      </c>
      <c r="G26" s="5">
        <v>0.17469999999999999</v>
      </c>
      <c r="H26" s="5">
        <v>0.17480000000000001</v>
      </c>
      <c r="I26" s="5">
        <v>0.17460000000000001</v>
      </c>
      <c r="J26" s="5">
        <v>0.12039999999999999</v>
      </c>
      <c r="K26" s="5">
        <v>0.1741</v>
      </c>
      <c r="L26" s="5">
        <v>0.10879999999999999</v>
      </c>
      <c r="M26" s="5">
        <v>0.1229</v>
      </c>
      <c r="N26" s="5">
        <v>0.254</v>
      </c>
      <c r="O26" s="5">
        <v>0.25519999999999998</v>
      </c>
      <c r="P26" s="5">
        <v>0.24390000000000001</v>
      </c>
    </row>
    <row r="27" spans="1:16" s="1" customFormat="1" ht="14.25">
      <c r="A27" s="3" t="s">
        <v>41</v>
      </c>
      <c r="B27" s="4">
        <v>547.6</v>
      </c>
      <c r="C27" s="5">
        <v>0.17649999999999999</v>
      </c>
      <c r="D27" s="5">
        <v>0.14430000000000001</v>
      </c>
      <c r="E27" s="5">
        <v>0.13089999999999999</v>
      </c>
      <c r="F27" s="5">
        <v>0.16120000000000001</v>
      </c>
      <c r="G27" s="5">
        <v>0.1772</v>
      </c>
      <c r="H27" s="5">
        <v>0.1772</v>
      </c>
      <c r="I27" s="5">
        <v>0.17710000000000001</v>
      </c>
      <c r="J27" s="5">
        <v>0.11840000000000001</v>
      </c>
      <c r="K27" s="5">
        <v>0.17649999999999999</v>
      </c>
      <c r="L27" s="5">
        <v>0.1142</v>
      </c>
      <c r="M27" s="5">
        <v>0.1295</v>
      </c>
      <c r="N27" s="5">
        <v>0.25540000000000002</v>
      </c>
      <c r="O27" s="5">
        <v>0.25659999999999999</v>
      </c>
      <c r="P27" s="5">
        <v>0.2462</v>
      </c>
    </row>
    <row r="28" spans="1:16" s="1" customFormat="1" ht="14.25">
      <c r="A28" s="3" t="s">
        <v>42</v>
      </c>
      <c r="B28" s="4">
        <v>586.9</v>
      </c>
      <c r="C28" s="5">
        <v>0.17829999999999999</v>
      </c>
      <c r="D28" s="5">
        <v>0.14449999999999999</v>
      </c>
      <c r="E28" s="5">
        <v>0.13120000000000001</v>
      </c>
      <c r="F28" s="5">
        <v>0.1603</v>
      </c>
      <c r="G28" s="5">
        <v>0.1789</v>
      </c>
      <c r="H28" s="5">
        <v>0.1789</v>
      </c>
      <c r="I28" s="5">
        <v>0.17879999999999999</v>
      </c>
      <c r="J28" s="5">
        <v>0.11899999999999999</v>
      </c>
      <c r="K28" s="5">
        <v>0.17829999999999999</v>
      </c>
      <c r="L28" s="5">
        <v>0.1164</v>
      </c>
      <c r="M28" s="5">
        <v>0.13150000000000001</v>
      </c>
      <c r="N28" s="5">
        <v>0.2576</v>
      </c>
      <c r="O28" s="5">
        <v>0.25879999999999997</v>
      </c>
      <c r="P28" s="5">
        <v>0.24840000000000001</v>
      </c>
    </row>
    <row r="29" spans="1:16" s="1" customFormat="1" ht="14.25">
      <c r="A29" s="3" t="s">
        <v>43</v>
      </c>
      <c r="B29" s="4">
        <v>619.29999999999995</v>
      </c>
      <c r="C29" s="5">
        <v>0.18049999999999999</v>
      </c>
      <c r="D29" s="5">
        <v>0.1507</v>
      </c>
      <c r="E29" s="5">
        <v>0.13689999999999999</v>
      </c>
      <c r="F29" s="5">
        <v>0.1661</v>
      </c>
      <c r="G29" s="5">
        <v>0.18099999999999999</v>
      </c>
      <c r="H29" s="5">
        <v>0.18099999999999999</v>
      </c>
      <c r="I29" s="5">
        <v>0.18090000000000001</v>
      </c>
      <c r="J29" s="5">
        <v>0.1231</v>
      </c>
      <c r="K29" s="5">
        <v>0.18049999999999999</v>
      </c>
      <c r="L29" s="5">
        <v>0.1202</v>
      </c>
      <c r="M29" s="5">
        <v>0.1396</v>
      </c>
      <c r="N29" s="5">
        <v>0.26169999999999999</v>
      </c>
      <c r="O29" s="5">
        <v>0.26319999999999999</v>
      </c>
      <c r="P29" s="5">
        <v>0.25080000000000002</v>
      </c>
    </row>
    <row r="30" spans="1:16" s="1" customFormat="1" ht="14.25">
      <c r="A30" s="3" t="s">
        <v>44</v>
      </c>
      <c r="B30" s="4">
        <v>662.9</v>
      </c>
      <c r="C30" s="5">
        <v>0.1827</v>
      </c>
      <c r="D30" s="5">
        <v>0.15310000000000001</v>
      </c>
      <c r="E30" s="5">
        <v>0.13880000000000001</v>
      </c>
      <c r="F30" s="5">
        <v>0.16789999999999999</v>
      </c>
      <c r="G30" s="5">
        <v>0.1835</v>
      </c>
      <c r="H30" s="5">
        <v>0.1835</v>
      </c>
      <c r="I30" s="5">
        <v>0.18340000000000001</v>
      </c>
      <c r="J30" s="5">
        <v>0.12509999999999999</v>
      </c>
      <c r="K30" s="5">
        <v>0.1827</v>
      </c>
      <c r="L30" s="5">
        <v>0.1241</v>
      </c>
      <c r="M30" s="5">
        <v>0.1462</v>
      </c>
      <c r="N30" s="5">
        <v>0.2621</v>
      </c>
      <c r="O30" s="5">
        <v>0.26340000000000002</v>
      </c>
      <c r="P30" s="5">
        <v>0.25419999999999998</v>
      </c>
    </row>
    <row r="31" spans="1:16" s="1" customFormat="1" ht="14.25">
      <c r="A31" s="3" t="s">
        <v>45</v>
      </c>
      <c r="B31" s="4">
        <v>710.7</v>
      </c>
      <c r="C31" s="5">
        <v>0.18590000000000001</v>
      </c>
      <c r="D31" s="5">
        <v>0.15529999999999999</v>
      </c>
      <c r="E31" s="5">
        <v>0.1386</v>
      </c>
      <c r="F31" s="5">
        <v>0.17069999999999999</v>
      </c>
      <c r="G31" s="5">
        <v>0.18609999999999999</v>
      </c>
      <c r="H31" s="5">
        <v>0.1862</v>
      </c>
      <c r="I31" s="5">
        <v>0.186</v>
      </c>
      <c r="J31" s="5">
        <v>0.12859999999999999</v>
      </c>
      <c r="K31" s="5">
        <v>0.18590000000000001</v>
      </c>
      <c r="L31" s="5">
        <v>0.13109999999999999</v>
      </c>
      <c r="M31" s="5">
        <v>0.15229999999999999</v>
      </c>
      <c r="N31" s="5">
        <v>0.26269999999999999</v>
      </c>
      <c r="O31" s="5">
        <v>0.2641</v>
      </c>
      <c r="P31" s="5">
        <v>0.25640000000000002</v>
      </c>
    </row>
    <row r="32" spans="1:16" s="1" customFormat="1" ht="14.25">
      <c r="A32" s="3" t="s">
        <v>46</v>
      </c>
      <c r="B32" s="4">
        <v>781.9</v>
      </c>
      <c r="C32" s="5">
        <v>0.18990000000000001</v>
      </c>
      <c r="D32" s="5">
        <v>0.15959999999999999</v>
      </c>
      <c r="E32" s="5">
        <v>0.14510000000000001</v>
      </c>
      <c r="F32" s="5">
        <v>0.17269999999999999</v>
      </c>
      <c r="G32" s="5">
        <v>0.1895</v>
      </c>
      <c r="H32" s="5">
        <v>0.1895</v>
      </c>
      <c r="I32" s="5">
        <v>0.18940000000000001</v>
      </c>
      <c r="J32" s="5">
        <v>0.1255</v>
      </c>
      <c r="K32" s="5">
        <v>0.18990000000000001</v>
      </c>
      <c r="L32" s="5">
        <v>0.1356</v>
      </c>
      <c r="M32" s="5">
        <v>0.15659999999999999</v>
      </c>
      <c r="N32" s="5">
        <v>0.26479999999999998</v>
      </c>
      <c r="O32" s="5">
        <v>0.26619999999999999</v>
      </c>
      <c r="P32" s="5">
        <v>0.2576</v>
      </c>
    </row>
    <row r="33" spans="1:16" s="1" customFormat="1" ht="14.25">
      <c r="A33" s="3" t="s">
        <v>47</v>
      </c>
      <c r="B33" s="4">
        <v>838.2</v>
      </c>
      <c r="C33" s="5">
        <v>0.19570000000000001</v>
      </c>
      <c r="D33" s="5">
        <v>0.16320000000000001</v>
      </c>
      <c r="E33" s="5">
        <v>0.14979999999999999</v>
      </c>
      <c r="F33" s="5">
        <v>0.17630000000000001</v>
      </c>
      <c r="G33" s="5">
        <v>0.1946</v>
      </c>
      <c r="H33" s="5">
        <v>0.1946</v>
      </c>
      <c r="I33" s="5">
        <v>0.19450000000000001</v>
      </c>
      <c r="J33" s="5">
        <v>0.12740000000000001</v>
      </c>
      <c r="K33" s="5">
        <v>0.19570000000000001</v>
      </c>
      <c r="L33" s="5">
        <v>0.13900000000000001</v>
      </c>
      <c r="M33" s="5">
        <v>0.15890000000000001</v>
      </c>
      <c r="N33" s="5">
        <v>0.26869999999999999</v>
      </c>
      <c r="O33" s="5">
        <v>0.26979999999999998</v>
      </c>
      <c r="P33" s="5">
        <v>0.26150000000000001</v>
      </c>
    </row>
    <row r="34" spans="1:16" s="1" customFormat="1" ht="14.25">
      <c r="A34" s="3" t="s">
        <v>48</v>
      </c>
      <c r="B34" s="4">
        <v>899.3</v>
      </c>
      <c r="C34" s="5">
        <v>0.2024</v>
      </c>
      <c r="D34" s="5">
        <v>0.1691</v>
      </c>
      <c r="E34" s="5">
        <v>0.15679999999999999</v>
      </c>
      <c r="F34" s="5">
        <v>0.18129999999999999</v>
      </c>
      <c r="G34" s="5">
        <v>0.2006</v>
      </c>
      <c r="H34" s="5">
        <v>0.2006</v>
      </c>
      <c r="I34" s="5">
        <v>0.20050000000000001</v>
      </c>
      <c r="J34" s="5">
        <v>0.13189999999999999</v>
      </c>
      <c r="K34" s="5">
        <v>0.2024</v>
      </c>
      <c r="L34" s="5">
        <v>0.14410000000000001</v>
      </c>
      <c r="M34" s="5">
        <v>0.16250000000000001</v>
      </c>
      <c r="N34" s="5">
        <v>0.27460000000000001</v>
      </c>
      <c r="O34" s="5">
        <v>0.27550000000000002</v>
      </c>
      <c r="P34" s="5">
        <v>0.26729999999999998</v>
      </c>
    </row>
    <row r="35" spans="1:16" s="1" customFormat="1" ht="14.25">
      <c r="A35" s="3" t="s">
        <v>49</v>
      </c>
      <c r="B35" s="4">
        <v>982.3</v>
      </c>
      <c r="C35" s="5">
        <v>0.2117</v>
      </c>
      <c r="D35" s="5">
        <v>0.17979999999999999</v>
      </c>
      <c r="E35" s="5">
        <v>0.16569999999999999</v>
      </c>
      <c r="F35" s="5">
        <v>0.19320000000000001</v>
      </c>
      <c r="G35" s="5">
        <v>0.20910000000000001</v>
      </c>
      <c r="H35" s="5">
        <v>0.20910000000000001</v>
      </c>
      <c r="I35" s="5">
        <v>0.20899999999999999</v>
      </c>
      <c r="J35" s="5">
        <v>0.14000000000000001</v>
      </c>
      <c r="K35" s="5">
        <v>0.2117</v>
      </c>
      <c r="L35" s="5">
        <v>0.15409999999999999</v>
      </c>
      <c r="M35" s="5">
        <v>0.17469999999999999</v>
      </c>
      <c r="N35" s="5">
        <v>0.28499999999999998</v>
      </c>
      <c r="O35" s="5">
        <v>0.2858</v>
      </c>
      <c r="P35" s="5">
        <v>0.27750000000000002</v>
      </c>
    </row>
    <row r="36" spans="1:16" s="1" customFormat="1" ht="14.25">
      <c r="A36" s="3" t="s">
        <v>50</v>
      </c>
      <c r="B36" s="4">
        <v>1049.0999999999999</v>
      </c>
      <c r="C36" s="5">
        <v>0.22309999999999999</v>
      </c>
      <c r="D36" s="5">
        <v>0.18990000000000001</v>
      </c>
      <c r="E36" s="5">
        <v>0.17419999999999999</v>
      </c>
      <c r="F36" s="5">
        <v>0.20300000000000001</v>
      </c>
      <c r="G36" s="5">
        <v>0.21909999999999999</v>
      </c>
      <c r="H36" s="5">
        <v>0.21909999999999999</v>
      </c>
      <c r="I36" s="5">
        <v>0.219</v>
      </c>
      <c r="J36" s="5">
        <v>0.14940000000000001</v>
      </c>
      <c r="K36" s="5">
        <v>0.22309999999999999</v>
      </c>
      <c r="L36" s="5">
        <v>0.1668</v>
      </c>
      <c r="M36" s="5">
        <v>0.1855</v>
      </c>
      <c r="N36" s="5">
        <v>0.29980000000000001</v>
      </c>
      <c r="O36" s="5">
        <v>0.30049999999999999</v>
      </c>
      <c r="P36" s="5">
        <v>0.29299999999999998</v>
      </c>
    </row>
    <row r="37" spans="1:16" s="1" customFormat="1" ht="14.25">
      <c r="A37" s="3" t="s">
        <v>51</v>
      </c>
      <c r="B37" s="4">
        <v>1119.3</v>
      </c>
      <c r="C37" s="5">
        <v>0.2344</v>
      </c>
      <c r="D37" s="5">
        <v>0.20300000000000001</v>
      </c>
      <c r="E37" s="5">
        <v>0.18529999999999999</v>
      </c>
      <c r="F37" s="5">
        <v>0.2155</v>
      </c>
      <c r="G37" s="5">
        <v>0.22889999999999999</v>
      </c>
      <c r="H37" s="5">
        <v>0.22889999999999999</v>
      </c>
      <c r="I37" s="5">
        <v>0.2288</v>
      </c>
      <c r="J37" s="5">
        <v>0.16009999999999999</v>
      </c>
      <c r="K37" s="5">
        <v>0.2344</v>
      </c>
      <c r="L37" s="5">
        <v>0.1837</v>
      </c>
      <c r="M37" s="5">
        <v>0.2031</v>
      </c>
      <c r="N37" s="5">
        <v>0.31850000000000001</v>
      </c>
      <c r="O37" s="5">
        <v>0.3196</v>
      </c>
      <c r="P37" s="5">
        <v>0.31130000000000002</v>
      </c>
    </row>
    <row r="38" spans="1:16" s="1" customFormat="1" ht="14.25">
      <c r="A38" s="3" t="s">
        <v>52</v>
      </c>
      <c r="B38" s="4">
        <v>1219.5</v>
      </c>
      <c r="C38" s="5">
        <v>0.2455</v>
      </c>
      <c r="D38" s="5">
        <v>0.2165</v>
      </c>
      <c r="E38" s="5">
        <v>0.2031</v>
      </c>
      <c r="F38" s="5">
        <v>0.22420000000000001</v>
      </c>
      <c r="G38" s="5">
        <v>0.23769999999999999</v>
      </c>
      <c r="H38" s="5">
        <v>0.23769999999999999</v>
      </c>
      <c r="I38" s="5">
        <v>0.23760000000000001</v>
      </c>
      <c r="J38" s="5">
        <v>0.16789999999999999</v>
      </c>
      <c r="K38" s="5">
        <v>0.2455</v>
      </c>
      <c r="L38" s="5">
        <v>0.19789999999999999</v>
      </c>
      <c r="M38" s="5">
        <v>0.21640000000000001</v>
      </c>
      <c r="N38" s="5">
        <v>0.3417</v>
      </c>
      <c r="O38" s="5">
        <v>0.3448</v>
      </c>
      <c r="P38" s="5">
        <v>0.32590000000000002</v>
      </c>
    </row>
    <row r="39" spans="1:16" s="1" customFormat="1" ht="14.25">
      <c r="A39" s="3" t="s">
        <v>53</v>
      </c>
      <c r="B39" s="4">
        <v>1356</v>
      </c>
      <c r="C39" s="5">
        <v>0.25619999999999998</v>
      </c>
      <c r="D39" s="5">
        <v>0.2266</v>
      </c>
      <c r="E39" s="5">
        <v>0.21759999999999999</v>
      </c>
      <c r="F39" s="5">
        <v>0.23089999999999999</v>
      </c>
      <c r="G39" s="5">
        <v>0.24660000000000001</v>
      </c>
      <c r="H39" s="5">
        <v>0.24660000000000001</v>
      </c>
      <c r="I39" s="5">
        <v>0.2465</v>
      </c>
      <c r="J39" s="5">
        <v>0.1719</v>
      </c>
      <c r="K39" s="5">
        <v>0.25619999999999998</v>
      </c>
      <c r="L39" s="5">
        <v>0.2094</v>
      </c>
      <c r="M39" s="5">
        <v>0.22889999999999999</v>
      </c>
      <c r="N39" s="5">
        <v>0.36370000000000002</v>
      </c>
      <c r="O39" s="5">
        <v>0.36919999999999997</v>
      </c>
      <c r="P39" s="5">
        <v>0.33960000000000001</v>
      </c>
    </row>
    <row r="40" spans="1:16" s="1" customFormat="1" ht="14.25">
      <c r="A40" s="3" t="s">
        <v>54</v>
      </c>
      <c r="B40" s="4">
        <v>1486.2</v>
      </c>
      <c r="C40" s="5">
        <v>0.27429999999999999</v>
      </c>
      <c r="D40" s="5">
        <v>0.24540000000000001</v>
      </c>
      <c r="E40" s="5">
        <v>0.23250000000000001</v>
      </c>
      <c r="F40" s="5">
        <v>0.25119999999999998</v>
      </c>
      <c r="G40" s="5">
        <v>0.26640000000000003</v>
      </c>
      <c r="H40" s="5">
        <v>0.26640000000000003</v>
      </c>
      <c r="I40" s="5">
        <v>0.26629999999999998</v>
      </c>
      <c r="J40" s="5">
        <v>0.18779999999999999</v>
      </c>
      <c r="K40" s="5">
        <v>0.27429999999999999</v>
      </c>
      <c r="L40" s="5">
        <v>0.22220000000000001</v>
      </c>
      <c r="M40" s="5">
        <v>0.2422</v>
      </c>
      <c r="N40" s="5">
        <v>0.38629999999999998</v>
      </c>
      <c r="O40" s="5">
        <v>0.39119999999999999</v>
      </c>
      <c r="P40" s="5">
        <v>0.36609999999999998</v>
      </c>
    </row>
    <row r="41" spans="1:16" s="1" customFormat="1" ht="14.25">
      <c r="A41" s="3" t="s">
        <v>55</v>
      </c>
      <c r="B41" s="4">
        <v>1610.6</v>
      </c>
      <c r="C41" s="5">
        <v>0.30270000000000002</v>
      </c>
      <c r="D41" s="5">
        <v>0.26950000000000002</v>
      </c>
      <c r="E41" s="5">
        <v>0.25330000000000003</v>
      </c>
      <c r="F41" s="5">
        <v>0.27579999999999999</v>
      </c>
      <c r="G41" s="5">
        <v>0.29399999999999998</v>
      </c>
      <c r="H41" s="5">
        <v>0.29399999999999998</v>
      </c>
      <c r="I41" s="5">
        <v>0.29389999999999999</v>
      </c>
      <c r="J41" s="5">
        <v>0.2084</v>
      </c>
      <c r="K41" s="5">
        <v>0.30270000000000002</v>
      </c>
      <c r="L41" s="5">
        <v>0.2389</v>
      </c>
      <c r="M41" s="5">
        <v>0.2586</v>
      </c>
      <c r="N41" s="5">
        <v>0.41970000000000002</v>
      </c>
      <c r="O41" s="5">
        <v>0.4234</v>
      </c>
      <c r="P41" s="5">
        <v>0.40610000000000002</v>
      </c>
    </row>
    <row r="42" spans="1:16" s="1" customFormat="1" ht="14.25">
      <c r="A42" s="3" t="s">
        <v>56</v>
      </c>
      <c r="B42" s="4">
        <v>1790.3</v>
      </c>
      <c r="C42" s="5">
        <v>0.32369999999999999</v>
      </c>
      <c r="D42" s="5">
        <v>0.2888</v>
      </c>
      <c r="E42" s="5">
        <v>0.26960000000000001</v>
      </c>
      <c r="F42" s="5">
        <v>0.29549999999999998</v>
      </c>
      <c r="G42" s="5">
        <v>0.31319999999999998</v>
      </c>
      <c r="H42" s="5">
        <v>0.31319999999999998</v>
      </c>
      <c r="I42" s="5">
        <v>0.31309999999999999</v>
      </c>
      <c r="J42" s="5">
        <v>0.22459999999999999</v>
      </c>
      <c r="K42" s="5">
        <v>0.32369999999999999</v>
      </c>
      <c r="L42" s="5">
        <v>0.25879999999999997</v>
      </c>
      <c r="M42" s="5">
        <v>0.28139999999999998</v>
      </c>
      <c r="N42" s="5">
        <v>0.44850000000000001</v>
      </c>
      <c r="O42" s="5">
        <v>0.45279999999999998</v>
      </c>
      <c r="P42" s="5">
        <v>0.43309999999999998</v>
      </c>
    </row>
    <row r="43" spans="1:16" s="1" customFormat="1" ht="14.25">
      <c r="A43" s="3" t="s">
        <v>57</v>
      </c>
      <c r="B43" s="4">
        <v>472.6</v>
      </c>
      <c r="C43" s="5">
        <v>0.33339999999999997</v>
      </c>
      <c r="D43" s="5">
        <v>0.29609999999999997</v>
      </c>
      <c r="E43" s="5">
        <v>0.27489999999999998</v>
      </c>
      <c r="F43" s="5">
        <v>0.30320000000000003</v>
      </c>
      <c r="G43" s="5">
        <v>0.32300000000000001</v>
      </c>
      <c r="H43" s="5">
        <v>0.32300000000000001</v>
      </c>
      <c r="I43" s="5">
        <v>0.32290000000000002</v>
      </c>
      <c r="J43" s="5">
        <v>0.23269999999999999</v>
      </c>
      <c r="K43" s="5">
        <v>0.33339999999999997</v>
      </c>
      <c r="L43" s="5">
        <v>0.2666</v>
      </c>
      <c r="M43" s="5">
        <v>0.28770000000000001</v>
      </c>
      <c r="N43" s="5">
        <v>0.46510000000000001</v>
      </c>
      <c r="O43" s="5">
        <v>0.47220000000000001</v>
      </c>
      <c r="P43" s="5">
        <v>0.44350000000000001</v>
      </c>
    </row>
    <row r="44" spans="1:16" s="1" customFormat="1" ht="14.25">
      <c r="A44" s="3" t="s">
        <v>58</v>
      </c>
      <c r="B44" s="4">
        <v>2028.4</v>
      </c>
      <c r="C44" s="5">
        <v>0.34699999999999998</v>
      </c>
      <c r="D44" s="5">
        <v>0.30980000000000002</v>
      </c>
      <c r="E44" s="5">
        <v>0.29060000000000002</v>
      </c>
      <c r="F44" s="5">
        <v>0.31630000000000003</v>
      </c>
      <c r="G44" s="5">
        <v>0.33660000000000001</v>
      </c>
      <c r="H44" s="5">
        <v>0.3367</v>
      </c>
      <c r="I44" s="5">
        <v>0.33650000000000002</v>
      </c>
      <c r="J44" s="5">
        <v>0.24079999999999999</v>
      </c>
      <c r="K44" s="5">
        <v>0.34699999999999998</v>
      </c>
      <c r="L44" s="5">
        <v>0.27910000000000001</v>
      </c>
      <c r="M44" s="5">
        <v>0.30230000000000001</v>
      </c>
      <c r="N44" s="5">
        <v>0.48380000000000001</v>
      </c>
      <c r="O44" s="5">
        <v>0.49130000000000001</v>
      </c>
      <c r="P44" s="5">
        <v>0.45779999999999998</v>
      </c>
    </row>
    <row r="45" spans="1:16" s="1" customFormat="1" ht="14.25">
      <c r="A45" s="3" t="s">
        <v>59</v>
      </c>
      <c r="B45" s="4">
        <v>2278.1999999999998</v>
      </c>
      <c r="C45" s="5">
        <v>0.37030000000000002</v>
      </c>
      <c r="D45" s="5">
        <v>0.32919999999999999</v>
      </c>
      <c r="E45" s="5">
        <v>0.31019999999999998</v>
      </c>
      <c r="F45" s="5">
        <v>0.33529999999999999</v>
      </c>
      <c r="G45" s="5">
        <v>0.3594</v>
      </c>
      <c r="H45" s="5">
        <v>0.35949999999999999</v>
      </c>
      <c r="I45" s="5">
        <v>0.35930000000000001</v>
      </c>
      <c r="J45" s="5">
        <v>0.25619999999999998</v>
      </c>
      <c r="K45" s="5">
        <v>0.37030000000000002</v>
      </c>
      <c r="L45" s="5">
        <v>0.29659999999999997</v>
      </c>
      <c r="M45" s="5">
        <v>0.31919999999999998</v>
      </c>
      <c r="N45" s="5">
        <v>0.51339999999999997</v>
      </c>
      <c r="O45" s="5">
        <v>0.52380000000000004</v>
      </c>
      <c r="P45" s="5">
        <v>0.48060000000000003</v>
      </c>
    </row>
    <row r="46" spans="1:16" s="1" customFormat="1" ht="14.25">
      <c r="A46" s="3" t="s">
        <v>60</v>
      </c>
      <c r="B46" s="4">
        <v>2570</v>
      </c>
      <c r="C46" s="5">
        <v>0.40010000000000001</v>
      </c>
      <c r="D46" s="5">
        <v>0.35759999999999997</v>
      </c>
      <c r="E46" s="5">
        <v>0.33550000000000002</v>
      </c>
      <c r="F46" s="5">
        <v>0.3649</v>
      </c>
      <c r="G46" s="5">
        <v>0.38919999999999999</v>
      </c>
      <c r="H46" s="5">
        <v>0.38929999999999998</v>
      </c>
      <c r="I46" s="5">
        <v>0.3891</v>
      </c>
      <c r="J46" s="5">
        <v>0.27950000000000003</v>
      </c>
      <c r="K46" s="5">
        <v>0.40010000000000001</v>
      </c>
      <c r="L46" s="5">
        <v>0.31530000000000002</v>
      </c>
      <c r="M46" s="5">
        <v>0.34360000000000002</v>
      </c>
      <c r="N46" s="5">
        <v>0.5474</v>
      </c>
      <c r="O46" s="5">
        <v>0.55810000000000004</v>
      </c>
      <c r="P46" s="5">
        <v>0.51200000000000001</v>
      </c>
    </row>
    <row r="47" spans="1:16" s="1" customFormat="1" ht="14.25">
      <c r="A47" s="3" t="s">
        <v>61</v>
      </c>
      <c r="B47" s="4">
        <v>2796.8</v>
      </c>
      <c r="C47" s="5">
        <v>0.43490000000000001</v>
      </c>
      <c r="D47" s="5">
        <v>0.39510000000000001</v>
      </c>
      <c r="E47" s="5">
        <v>0.37090000000000001</v>
      </c>
      <c r="F47" s="5">
        <v>0.40279999999999999</v>
      </c>
      <c r="G47" s="5">
        <v>0.43020000000000003</v>
      </c>
      <c r="H47" s="5">
        <v>0.43030000000000002</v>
      </c>
      <c r="I47" s="5">
        <v>0.43009999999999998</v>
      </c>
      <c r="J47" s="5">
        <v>0.31069999999999998</v>
      </c>
      <c r="K47" s="5">
        <v>0.43490000000000001</v>
      </c>
      <c r="L47" s="5">
        <v>0.34139999999999998</v>
      </c>
      <c r="M47" s="5">
        <v>0.36830000000000002</v>
      </c>
      <c r="N47" s="5">
        <v>0.59089999999999998</v>
      </c>
      <c r="O47" s="5">
        <v>0.59960000000000002</v>
      </c>
      <c r="P47" s="5">
        <v>0.55840000000000001</v>
      </c>
    </row>
    <row r="48" spans="1:16" s="1" customFormat="1" ht="14.25">
      <c r="A48" s="3" t="s">
        <v>62</v>
      </c>
      <c r="B48" s="4">
        <v>3138.4</v>
      </c>
      <c r="C48" s="5">
        <v>0.47749999999999998</v>
      </c>
      <c r="D48" s="5">
        <v>0.43909999999999999</v>
      </c>
      <c r="E48" s="5">
        <v>0.4133</v>
      </c>
      <c r="F48" s="5">
        <v>0.4476</v>
      </c>
      <c r="G48" s="5">
        <v>0.47199999999999998</v>
      </c>
      <c r="H48" s="5">
        <v>0.47199999999999998</v>
      </c>
      <c r="I48" s="5">
        <v>0.4718</v>
      </c>
      <c r="J48" s="5">
        <v>0.34620000000000001</v>
      </c>
      <c r="K48" s="5">
        <v>0.47749999999999998</v>
      </c>
      <c r="L48" s="5">
        <v>0.37509999999999999</v>
      </c>
      <c r="M48" s="5">
        <v>0.40379999999999999</v>
      </c>
      <c r="N48" s="5">
        <v>0.64259999999999995</v>
      </c>
      <c r="O48" s="5">
        <v>0.65069999999999995</v>
      </c>
      <c r="P48" s="5">
        <v>0.60899999999999999</v>
      </c>
    </row>
    <row r="49" spans="1:16" s="1" customFormat="1" ht="14.25">
      <c r="A49" s="3" t="s">
        <v>63</v>
      </c>
      <c r="B49" s="4">
        <v>3313.9</v>
      </c>
      <c r="C49" s="5">
        <v>0.51029999999999998</v>
      </c>
      <c r="D49" s="5">
        <v>0.47210000000000002</v>
      </c>
      <c r="E49" s="5">
        <v>0.4491</v>
      </c>
      <c r="F49" s="5">
        <v>0.4803</v>
      </c>
      <c r="G49" s="5">
        <v>0.50109999999999999</v>
      </c>
      <c r="H49" s="5">
        <v>0.50109999999999999</v>
      </c>
      <c r="I49" s="5">
        <v>0.50090000000000001</v>
      </c>
      <c r="J49" s="5">
        <v>0.37590000000000001</v>
      </c>
      <c r="K49" s="5">
        <v>0.51029999999999998</v>
      </c>
      <c r="L49" s="5">
        <v>0.39300000000000002</v>
      </c>
      <c r="M49" s="5">
        <v>0.42330000000000001</v>
      </c>
      <c r="N49" s="5">
        <v>0.6966</v>
      </c>
      <c r="O49" s="5">
        <v>0.70450000000000002</v>
      </c>
      <c r="P49" s="5">
        <v>0.65539999999999998</v>
      </c>
    </row>
    <row r="50" spans="1:16" s="1" customFormat="1" ht="14.25">
      <c r="A50" s="3" t="s">
        <v>64</v>
      </c>
      <c r="B50" s="4">
        <v>3541.1</v>
      </c>
      <c r="C50" s="5">
        <v>0.53269999999999995</v>
      </c>
      <c r="D50" s="5">
        <v>0.49569999999999997</v>
      </c>
      <c r="E50" s="5">
        <v>0.47199999999999998</v>
      </c>
      <c r="F50" s="5">
        <v>0.50449999999999995</v>
      </c>
      <c r="G50" s="5">
        <v>0.52410000000000001</v>
      </c>
      <c r="H50" s="5">
        <v>0.52410000000000001</v>
      </c>
      <c r="I50" s="5">
        <v>0.52390000000000003</v>
      </c>
      <c r="J50" s="5">
        <v>0.39500000000000002</v>
      </c>
      <c r="K50" s="5">
        <v>0.53269999999999995</v>
      </c>
      <c r="L50" s="5">
        <v>0.40770000000000001</v>
      </c>
      <c r="M50" s="5">
        <v>0.43709999999999999</v>
      </c>
      <c r="N50" s="5">
        <v>0.73250000000000004</v>
      </c>
      <c r="O50" s="5">
        <v>0.74099999999999999</v>
      </c>
      <c r="P50" s="5">
        <v>0.67649999999999999</v>
      </c>
    </row>
    <row r="51" spans="1:16" s="1" customFormat="1" ht="14.25">
      <c r="A51" s="3" t="s">
        <v>65</v>
      </c>
      <c r="B51" s="4">
        <v>3952.8</v>
      </c>
      <c r="C51" s="5">
        <v>0.55149999999999999</v>
      </c>
      <c r="D51" s="5">
        <v>0.51839999999999997</v>
      </c>
      <c r="E51" s="5">
        <v>0.49440000000000001</v>
      </c>
      <c r="F51" s="5">
        <v>0.52780000000000005</v>
      </c>
      <c r="G51" s="5">
        <v>0.5444</v>
      </c>
      <c r="H51" s="5">
        <v>0.5444</v>
      </c>
      <c r="I51" s="5">
        <v>0.54420000000000002</v>
      </c>
      <c r="J51" s="5">
        <v>0.41549999999999998</v>
      </c>
      <c r="K51" s="5">
        <v>0.55149999999999999</v>
      </c>
      <c r="L51" s="5">
        <v>0.4173</v>
      </c>
      <c r="M51" s="5">
        <v>0.45929999999999999</v>
      </c>
      <c r="N51" s="5">
        <v>0.75939999999999996</v>
      </c>
      <c r="O51" s="5">
        <v>0.77</v>
      </c>
      <c r="P51" s="5">
        <v>0.69389999999999996</v>
      </c>
    </row>
    <row r="52" spans="1:16" s="1" customFormat="1" ht="14.25">
      <c r="A52" s="3" t="s">
        <v>66</v>
      </c>
      <c r="B52" s="4">
        <v>4270.3999999999996</v>
      </c>
      <c r="C52" s="5">
        <v>0.56979999999999997</v>
      </c>
      <c r="D52" s="5">
        <v>0.53720000000000001</v>
      </c>
      <c r="E52" s="5">
        <v>0.51280000000000003</v>
      </c>
      <c r="F52" s="5">
        <v>0.54669999999999996</v>
      </c>
      <c r="G52" s="5">
        <v>0.56369999999999998</v>
      </c>
      <c r="H52" s="5">
        <v>0.56369999999999998</v>
      </c>
      <c r="I52" s="5">
        <v>0.56340000000000001</v>
      </c>
      <c r="J52" s="5">
        <v>0.43309999999999998</v>
      </c>
      <c r="K52" s="5">
        <v>0.56979999999999997</v>
      </c>
      <c r="L52" s="5">
        <v>0.4345</v>
      </c>
      <c r="M52" s="5">
        <v>0.47820000000000001</v>
      </c>
      <c r="N52" s="5">
        <v>0.76739999999999997</v>
      </c>
      <c r="O52" s="5">
        <v>0.77729999999999999</v>
      </c>
      <c r="P52" s="5">
        <v>0.7087</v>
      </c>
    </row>
    <row r="53" spans="1:16" s="1" customFormat="1" ht="14.25">
      <c r="A53" s="3" t="s">
        <v>67</v>
      </c>
      <c r="B53" s="4">
        <v>4536.1000000000004</v>
      </c>
      <c r="C53" s="5">
        <v>0.58279999999999998</v>
      </c>
      <c r="D53" s="5">
        <v>0.54859999999999998</v>
      </c>
      <c r="E53" s="5">
        <v>0.5242</v>
      </c>
      <c r="F53" s="5">
        <v>0.5585</v>
      </c>
      <c r="G53" s="5">
        <v>0.57830000000000004</v>
      </c>
      <c r="H53" s="5">
        <v>0.57840000000000003</v>
      </c>
      <c r="I53" s="5">
        <v>0.57809999999999995</v>
      </c>
      <c r="J53" s="5">
        <v>0.4486</v>
      </c>
      <c r="K53" s="5">
        <v>0.58279999999999998</v>
      </c>
      <c r="L53" s="5">
        <v>0.44069999999999998</v>
      </c>
      <c r="M53" s="5">
        <v>0.47960000000000003</v>
      </c>
      <c r="N53" s="5">
        <v>0.7621</v>
      </c>
      <c r="O53" s="5">
        <v>0.76859999999999995</v>
      </c>
      <c r="P53" s="5">
        <v>0.71740000000000004</v>
      </c>
    </row>
    <row r="54" spans="1:16" s="1" customFormat="1" ht="14.25">
      <c r="A54" s="3" t="s">
        <v>68</v>
      </c>
      <c r="B54" s="4">
        <v>4781.8999999999996</v>
      </c>
      <c r="C54" s="5">
        <v>0.5958</v>
      </c>
      <c r="D54" s="5">
        <v>0.56430000000000002</v>
      </c>
      <c r="E54" s="5">
        <v>0.53249999999999997</v>
      </c>
      <c r="F54" s="5">
        <v>0.57769999999999999</v>
      </c>
      <c r="G54" s="5">
        <v>0.59299999999999997</v>
      </c>
      <c r="H54" s="5">
        <v>0.59309999999999996</v>
      </c>
      <c r="I54" s="5">
        <v>0.59279999999999999</v>
      </c>
      <c r="J54" s="5">
        <v>0.47120000000000001</v>
      </c>
      <c r="K54" s="5">
        <v>0.5958</v>
      </c>
      <c r="L54" s="5">
        <v>0.4425</v>
      </c>
      <c r="M54" s="5">
        <v>0.4894</v>
      </c>
      <c r="N54" s="5">
        <v>0.75490000000000002</v>
      </c>
      <c r="O54" s="5">
        <v>0.75919999999999999</v>
      </c>
      <c r="P54" s="5">
        <v>0.72629999999999995</v>
      </c>
    </row>
    <row r="55" spans="1:16" s="1" customFormat="1" ht="14.25">
      <c r="A55" s="3" t="s">
        <v>69</v>
      </c>
      <c r="B55" s="4">
        <v>5155.1000000000004</v>
      </c>
      <c r="C55" s="5">
        <v>0.61509999999999998</v>
      </c>
      <c r="D55" s="5">
        <v>0.58350000000000002</v>
      </c>
      <c r="E55" s="5">
        <v>0.54549999999999998</v>
      </c>
      <c r="F55" s="5">
        <v>0.59909999999999997</v>
      </c>
      <c r="G55" s="5">
        <v>0.61550000000000005</v>
      </c>
      <c r="H55" s="5">
        <v>0.61560000000000004</v>
      </c>
      <c r="I55" s="5">
        <v>0.61499999999999999</v>
      </c>
      <c r="J55" s="5">
        <v>0.48899999999999999</v>
      </c>
      <c r="K55" s="5">
        <v>0.61509999999999998</v>
      </c>
      <c r="L55" s="5">
        <v>0.45660000000000001</v>
      </c>
      <c r="M55" s="5">
        <v>0.50819999999999999</v>
      </c>
      <c r="N55" s="5">
        <v>0.75600000000000001</v>
      </c>
      <c r="O55" s="5">
        <v>0.75749999999999995</v>
      </c>
      <c r="P55" s="5">
        <v>0.74729999999999996</v>
      </c>
    </row>
    <row r="56" spans="1:16" s="1" customFormat="1" ht="14.25">
      <c r="A56" s="3" t="s">
        <v>70</v>
      </c>
      <c r="B56" s="4">
        <v>5570</v>
      </c>
      <c r="C56" s="5">
        <v>0.63959999999999995</v>
      </c>
      <c r="D56" s="5">
        <v>0.60580000000000001</v>
      </c>
      <c r="E56" s="5">
        <v>0.56469999999999998</v>
      </c>
      <c r="F56" s="5">
        <v>0.62219999999999998</v>
      </c>
      <c r="G56" s="5">
        <v>0.64249999999999996</v>
      </c>
      <c r="H56" s="5">
        <v>0.64259999999999995</v>
      </c>
      <c r="I56" s="5">
        <v>0.64149999999999996</v>
      </c>
      <c r="J56" s="5">
        <v>0.50980000000000003</v>
      </c>
      <c r="K56" s="5">
        <v>0.63959999999999995</v>
      </c>
      <c r="L56" s="5">
        <v>0.46700000000000003</v>
      </c>
      <c r="M56" s="5">
        <v>0.51629999999999998</v>
      </c>
      <c r="N56" s="5">
        <v>0.77010000000000001</v>
      </c>
      <c r="O56" s="5">
        <v>0.76980000000000004</v>
      </c>
      <c r="P56" s="5">
        <v>0.7722</v>
      </c>
    </row>
    <row r="57" spans="1:16" s="1" customFormat="1" ht="14.25">
      <c r="A57" s="3" t="s">
        <v>71</v>
      </c>
      <c r="B57" s="4">
        <v>5914.6</v>
      </c>
      <c r="C57" s="5">
        <v>0.66269999999999996</v>
      </c>
      <c r="D57" s="5">
        <v>0.62370000000000003</v>
      </c>
      <c r="E57" s="5">
        <v>0.58440000000000003</v>
      </c>
      <c r="F57" s="5">
        <v>0.6371</v>
      </c>
      <c r="G57" s="5">
        <v>0.66820000000000002</v>
      </c>
      <c r="H57" s="5">
        <v>0.66839999999999999</v>
      </c>
      <c r="I57" s="5">
        <v>0.66669999999999996</v>
      </c>
      <c r="J57" s="5">
        <v>0.53410000000000002</v>
      </c>
      <c r="K57" s="5">
        <v>0.66269999999999996</v>
      </c>
      <c r="L57" s="5">
        <v>0.47970000000000002</v>
      </c>
      <c r="M57" s="5">
        <v>0.51890000000000003</v>
      </c>
      <c r="N57" s="5">
        <v>0.78510000000000002</v>
      </c>
      <c r="O57" s="5">
        <v>0.78390000000000004</v>
      </c>
      <c r="P57" s="5">
        <v>0.79210000000000003</v>
      </c>
    </row>
    <row r="58" spans="1:16" s="1" customFormat="1" ht="14.25">
      <c r="A58" s="3" t="s">
        <v>72</v>
      </c>
      <c r="B58" s="4">
        <v>6110.1</v>
      </c>
      <c r="C58" s="5">
        <v>0.68620000000000003</v>
      </c>
      <c r="D58" s="5">
        <v>0.65259999999999996</v>
      </c>
      <c r="E58" s="5">
        <v>0.6159</v>
      </c>
      <c r="F58" s="5">
        <v>0.66290000000000004</v>
      </c>
      <c r="G58" s="5">
        <v>0.69430000000000003</v>
      </c>
      <c r="H58" s="5">
        <v>0.6946</v>
      </c>
      <c r="I58" s="5">
        <v>0.69259999999999999</v>
      </c>
      <c r="J58" s="5">
        <v>0.55569999999999997</v>
      </c>
      <c r="K58" s="5">
        <v>0.68620000000000003</v>
      </c>
      <c r="L58" s="5">
        <v>0.51239999999999997</v>
      </c>
      <c r="M58" s="5">
        <v>0.54930000000000001</v>
      </c>
      <c r="N58" s="5">
        <v>0.80669999999999997</v>
      </c>
      <c r="O58" s="5">
        <v>0.8054</v>
      </c>
      <c r="P58" s="5">
        <v>0.8135</v>
      </c>
    </row>
    <row r="59" spans="1:16" s="1" customFormat="1" ht="14.25">
      <c r="A59" s="3" t="s">
        <v>73</v>
      </c>
      <c r="B59" s="4">
        <v>6434.7</v>
      </c>
      <c r="C59" s="5">
        <v>0.70299999999999996</v>
      </c>
      <c r="D59" s="5">
        <v>0.67710000000000004</v>
      </c>
      <c r="E59" s="5">
        <v>0.62309999999999999</v>
      </c>
      <c r="F59" s="5">
        <v>0.69359999999999999</v>
      </c>
      <c r="G59" s="5">
        <v>0.71220000000000006</v>
      </c>
      <c r="H59" s="5">
        <v>0.71260000000000001</v>
      </c>
      <c r="I59" s="5">
        <v>0.71020000000000005</v>
      </c>
      <c r="J59" s="5">
        <v>0.57250000000000001</v>
      </c>
      <c r="K59" s="5">
        <v>0.70299999999999996</v>
      </c>
      <c r="L59" s="5">
        <v>0.52569999999999995</v>
      </c>
      <c r="M59" s="5">
        <v>0.59060000000000001</v>
      </c>
      <c r="N59" s="5">
        <v>0.81850000000000001</v>
      </c>
      <c r="O59" s="5">
        <v>0.81789999999999996</v>
      </c>
      <c r="P59" s="5">
        <v>0.82079999999999997</v>
      </c>
    </row>
    <row r="60" spans="1:16" s="1" customFormat="1" ht="14.25">
      <c r="A60" s="3" t="s">
        <v>74</v>
      </c>
      <c r="B60" s="4">
        <v>6794.9</v>
      </c>
      <c r="C60" s="5">
        <v>0.71970000000000001</v>
      </c>
      <c r="D60" s="5">
        <v>0.69720000000000004</v>
      </c>
      <c r="E60" s="5">
        <v>0.63019999999999998</v>
      </c>
      <c r="F60" s="5">
        <v>0.71709999999999996</v>
      </c>
      <c r="G60" s="5">
        <v>0.73060000000000003</v>
      </c>
      <c r="H60" s="5">
        <v>0.73099999999999998</v>
      </c>
      <c r="I60" s="5">
        <v>0.72799999999999998</v>
      </c>
      <c r="J60" s="5">
        <v>0.59089999999999998</v>
      </c>
      <c r="K60" s="5">
        <v>0.71970000000000001</v>
      </c>
      <c r="L60" s="5">
        <v>0.55600000000000005</v>
      </c>
      <c r="M60" s="5">
        <v>0.63619999999999999</v>
      </c>
      <c r="N60" s="5">
        <v>0.83589999999999998</v>
      </c>
      <c r="O60" s="5">
        <v>0.83660000000000001</v>
      </c>
      <c r="P60" s="5">
        <v>0.83320000000000005</v>
      </c>
    </row>
    <row r="61" spans="1:16" s="1" customFormat="1" ht="14.25">
      <c r="A61" s="3" t="s">
        <v>75</v>
      </c>
      <c r="B61" s="4">
        <v>7197.8</v>
      </c>
      <c r="C61" s="5">
        <v>0.73540000000000005</v>
      </c>
      <c r="D61" s="5">
        <v>0.71</v>
      </c>
      <c r="E61" s="5">
        <v>0.63660000000000005</v>
      </c>
      <c r="F61" s="5">
        <v>0.73009999999999997</v>
      </c>
      <c r="G61" s="5">
        <v>0.74590000000000001</v>
      </c>
      <c r="H61" s="5">
        <v>0.74660000000000004</v>
      </c>
      <c r="I61" s="5">
        <v>0.74250000000000005</v>
      </c>
      <c r="J61" s="5">
        <v>0.60660000000000003</v>
      </c>
      <c r="K61" s="5">
        <v>0.73540000000000005</v>
      </c>
      <c r="L61" s="5">
        <v>0.58150000000000002</v>
      </c>
      <c r="M61" s="5">
        <v>0.64490000000000003</v>
      </c>
      <c r="N61" s="5">
        <v>0.85489999999999999</v>
      </c>
      <c r="O61" s="5">
        <v>0.85699999999999998</v>
      </c>
      <c r="P61" s="5">
        <v>0.84689999999999999</v>
      </c>
    </row>
    <row r="62" spans="1:16" s="1" customFormat="1" ht="14.25">
      <c r="A62" s="3" t="s">
        <v>76</v>
      </c>
      <c r="B62" s="4">
        <v>7583.4</v>
      </c>
      <c r="C62" s="5">
        <v>0.751</v>
      </c>
      <c r="D62" s="5">
        <v>0.73060000000000003</v>
      </c>
      <c r="E62" s="5">
        <v>0.64980000000000004</v>
      </c>
      <c r="F62" s="5">
        <v>0.75109999999999999</v>
      </c>
      <c r="G62" s="5">
        <v>0.76180000000000003</v>
      </c>
      <c r="H62" s="5">
        <v>0.76259999999999994</v>
      </c>
      <c r="I62" s="5">
        <v>0.75839999999999996</v>
      </c>
      <c r="J62" s="5">
        <v>0.62709999999999999</v>
      </c>
      <c r="K62" s="5">
        <v>0.751</v>
      </c>
      <c r="L62" s="5">
        <v>0.60009999999999997</v>
      </c>
      <c r="M62" s="5">
        <v>0.68510000000000004</v>
      </c>
      <c r="N62" s="5">
        <v>0.87660000000000005</v>
      </c>
      <c r="O62" s="5">
        <v>0.87880000000000003</v>
      </c>
      <c r="P62" s="5">
        <v>0.87009999999999998</v>
      </c>
    </row>
    <row r="63" spans="1:16" s="1" customFormat="1" ht="14.25">
      <c r="A63" s="3" t="s">
        <v>77</v>
      </c>
      <c r="B63" s="4">
        <v>7978.3</v>
      </c>
      <c r="C63" s="5">
        <v>0.76500000000000001</v>
      </c>
      <c r="D63" s="5">
        <v>0.74590000000000001</v>
      </c>
      <c r="E63" s="5">
        <v>0.66410000000000002</v>
      </c>
      <c r="F63" s="5">
        <v>0.76519999999999999</v>
      </c>
      <c r="G63" s="5">
        <v>0.77710000000000001</v>
      </c>
      <c r="H63" s="5">
        <v>0.77780000000000005</v>
      </c>
      <c r="I63" s="5">
        <v>0.77349999999999997</v>
      </c>
      <c r="J63" s="5">
        <v>0.64419999999999999</v>
      </c>
      <c r="K63" s="5">
        <v>0.76500000000000001</v>
      </c>
      <c r="L63" s="5">
        <v>0.62819999999999998</v>
      </c>
      <c r="M63" s="5">
        <v>0.70569999999999999</v>
      </c>
      <c r="N63" s="5">
        <v>0.88849999999999996</v>
      </c>
      <c r="O63" s="5">
        <v>0.89249999999999996</v>
      </c>
      <c r="P63" s="5">
        <v>0.87790000000000001</v>
      </c>
    </row>
    <row r="64" spans="1:16" s="1" customFormat="1" ht="14.25">
      <c r="A64" s="3" t="s">
        <v>78</v>
      </c>
      <c r="B64" s="4">
        <v>8483.2000000000007</v>
      </c>
      <c r="C64" s="5">
        <v>0.77849999999999997</v>
      </c>
      <c r="D64" s="5">
        <v>0.76119999999999999</v>
      </c>
      <c r="E64" s="5">
        <v>0.67400000000000004</v>
      </c>
      <c r="F64" s="5">
        <v>0.78169999999999995</v>
      </c>
      <c r="G64" s="5">
        <v>0.79269999999999996</v>
      </c>
      <c r="H64" s="5">
        <v>0.79339999999999999</v>
      </c>
      <c r="I64" s="5">
        <v>0.78900000000000003</v>
      </c>
      <c r="J64" s="5">
        <v>0.65590000000000004</v>
      </c>
      <c r="K64" s="5">
        <v>0.77849999999999997</v>
      </c>
      <c r="L64" s="5">
        <v>0.6431</v>
      </c>
      <c r="M64" s="5">
        <v>0.72030000000000005</v>
      </c>
      <c r="N64" s="5">
        <v>0.88580000000000003</v>
      </c>
      <c r="O64" s="5">
        <v>0.88880000000000003</v>
      </c>
      <c r="P64" s="5">
        <v>0.87780000000000002</v>
      </c>
    </row>
    <row r="65" spans="1:16" s="1" customFormat="1" ht="14.25">
      <c r="A65" s="3" t="s">
        <v>79</v>
      </c>
      <c r="B65" s="4">
        <v>8954.7999999999993</v>
      </c>
      <c r="C65" s="5">
        <v>0.78810000000000002</v>
      </c>
      <c r="D65" s="5">
        <v>0.76790000000000003</v>
      </c>
      <c r="E65" s="5">
        <v>0.68659999999999999</v>
      </c>
      <c r="F65" s="5">
        <v>0.78600000000000003</v>
      </c>
      <c r="G65" s="5">
        <v>0.79990000000000006</v>
      </c>
      <c r="H65" s="5">
        <v>0.80049999999999999</v>
      </c>
      <c r="I65" s="5">
        <v>0.79730000000000001</v>
      </c>
      <c r="J65" s="5">
        <v>0.66500000000000004</v>
      </c>
      <c r="K65" s="5">
        <v>0.78810000000000002</v>
      </c>
      <c r="L65" s="5">
        <v>0.6583</v>
      </c>
      <c r="M65" s="5">
        <v>0.71009999999999995</v>
      </c>
      <c r="N65" s="5">
        <v>0.88649999999999995</v>
      </c>
      <c r="O65" s="5">
        <v>0.88870000000000005</v>
      </c>
      <c r="P65" s="5">
        <v>0.87860000000000005</v>
      </c>
    </row>
    <row r="66" spans="1:16" s="1" customFormat="1" ht="14.25">
      <c r="A66" s="3" t="s">
        <v>80</v>
      </c>
      <c r="B66" s="4">
        <v>9510.5</v>
      </c>
      <c r="C66" s="5">
        <v>0.79810000000000003</v>
      </c>
      <c r="D66" s="5">
        <v>0.77769999999999995</v>
      </c>
      <c r="E66" s="5">
        <v>0.70150000000000001</v>
      </c>
      <c r="F66" s="5">
        <v>0.79430000000000001</v>
      </c>
      <c r="G66" s="5">
        <v>0.80920000000000003</v>
      </c>
      <c r="H66" s="5">
        <v>0.80969999999999998</v>
      </c>
      <c r="I66" s="5">
        <v>0.80689999999999995</v>
      </c>
      <c r="J66" s="5">
        <v>0.68159999999999998</v>
      </c>
      <c r="K66" s="5">
        <v>0.79810000000000003</v>
      </c>
      <c r="L66" s="5">
        <v>0.6774</v>
      </c>
      <c r="M66" s="5">
        <v>0.72919999999999996</v>
      </c>
      <c r="N66" s="5">
        <v>0.89510000000000001</v>
      </c>
      <c r="O66" s="5">
        <v>0.8992</v>
      </c>
      <c r="P66" s="5">
        <v>0.88460000000000005</v>
      </c>
    </row>
    <row r="67" spans="1:16" s="1" customFormat="1" ht="14.25">
      <c r="A67" s="3" t="s">
        <v>81</v>
      </c>
      <c r="B67" s="4">
        <v>10148.200000000001</v>
      </c>
      <c r="C67" s="5">
        <v>0.81469999999999998</v>
      </c>
      <c r="D67" s="5">
        <v>0.79700000000000004</v>
      </c>
      <c r="E67" s="5">
        <v>0.72350000000000003</v>
      </c>
      <c r="F67" s="5">
        <v>0.81330000000000002</v>
      </c>
      <c r="G67" s="5">
        <v>0.82830000000000004</v>
      </c>
      <c r="H67" s="5">
        <v>0.82889999999999997</v>
      </c>
      <c r="I67" s="5">
        <v>0.8256</v>
      </c>
      <c r="J67" s="5">
        <v>0.70740000000000003</v>
      </c>
      <c r="K67" s="5">
        <v>0.81469999999999998</v>
      </c>
      <c r="L67" s="5">
        <v>0.70930000000000004</v>
      </c>
      <c r="M67" s="5">
        <v>0.75509999999999999</v>
      </c>
      <c r="N67" s="5">
        <v>0.90790000000000004</v>
      </c>
      <c r="O67" s="5">
        <v>0.91080000000000005</v>
      </c>
      <c r="P67" s="5">
        <v>0.90169999999999995</v>
      </c>
    </row>
    <row r="68" spans="1:16" s="1" customFormat="1" ht="14.25">
      <c r="A68" s="3" t="s">
        <v>82</v>
      </c>
      <c r="B68" s="4">
        <v>10564.6</v>
      </c>
      <c r="C68" s="5">
        <v>0.83420000000000005</v>
      </c>
      <c r="D68" s="5">
        <v>0.81830000000000003</v>
      </c>
      <c r="E68" s="5">
        <v>0.74939999999999996</v>
      </c>
      <c r="F68" s="5">
        <v>0.83330000000000004</v>
      </c>
      <c r="G68" s="5">
        <v>0.8468</v>
      </c>
      <c r="H68" s="5">
        <v>0.84730000000000005</v>
      </c>
      <c r="I68" s="5">
        <v>0.84440000000000004</v>
      </c>
      <c r="J68" s="5">
        <v>0.73009999999999997</v>
      </c>
      <c r="K68" s="5">
        <v>0.83420000000000005</v>
      </c>
      <c r="L68" s="5">
        <v>0.73099999999999998</v>
      </c>
      <c r="M68" s="5">
        <v>0.78159999999999996</v>
      </c>
      <c r="N68" s="5">
        <v>0.91139999999999999</v>
      </c>
      <c r="O68" s="5">
        <v>0.91149999999999998</v>
      </c>
      <c r="P68" s="5">
        <v>0.9113</v>
      </c>
    </row>
    <row r="69" spans="1:16" s="1" customFormat="1" ht="14.25">
      <c r="A69" s="3" t="s">
        <v>83</v>
      </c>
      <c r="B69" s="4">
        <v>10876.9</v>
      </c>
      <c r="C69" s="5">
        <v>0.84770000000000001</v>
      </c>
      <c r="D69" s="5">
        <v>0.83189999999999997</v>
      </c>
      <c r="E69" s="5">
        <v>0.77610000000000001</v>
      </c>
      <c r="F69" s="5">
        <v>0.84460000000000002</v>
      </c>
      <c r="G69" s="5">
        <v>0.85680000000000001</v>
      </c>
      <c r="H69" s="5">
        <v>0.85729999999999995</v>
      </c>
      <c r="I69" s="5">
        <v>0.85470000000000002</v>
      </c>
      <c r="J69" s="5">
        <v>0.74439999999999995</v>
      </c>
      <c r="K69" s="5">
        <v>0.84770000000000001</v>
      </c>
      <c r="L69" s="5">
        <v>0.7702</v>
      </c>
      <c r="M69" s="5">
        <v>0.80840000000000001</v>
      </c>
      <c r="N69" s="5">
        <v>0.90610000000000002</v>
      </c>
      <c r="O69" s="5">
        <v>0.90410000000000001</v>
      </c>
      <c r="P69" s="5">
        <v>0.91069999999999995</v>
      </c>
    </row>
    <row r="70" spans="1:16" s="1" customFormat="1" ht="14.25">
      <c r="A70" s="3" t="s">
        <v>84</v>
      </c>
      <c r="B70" s="4">
        <v>11332.4</v>
      </c>
      <c r="C70" s="5">
        <v>0.8639</v>
      </c>
      <c r="D70" s="5">
        <v>0.85540000000000005</v>
      </c>
      <c r="E70" s="5">
        <v>0.82389999999999997</v>
      </c>
      <c r="F70" s="5">
        <v>0.86299999999999999</v>
      </c>
      <c r="G70" s="5">
        <v>0.874</v>
      </c>
      <c r="H70" s="5">
        <v>0.87450000000000006</v>
      </c>
      <c r="I70" s="5">
        <v>0.87190000000000001</v>
      </c>
      <c r="J70" s="5">
        <v>0.76719999999999999</v>
      </c>
      <c r="K70" s="5">
        <v>0.8639</v>
      </c>
      <c r="L70" s="5">
        <v>0.80569999999999997</v>
      </c>
      <c r="M70" s="5">
        <v>0.83799999999999997</v>
      </c>
      <c r="N70" s="5">
        <v>0.91300000000000003</v>
      </c>
      <c r="O70" s="5">
        <v>0.91180000000000005</v>
      </c>
      <c r="P70" s="5">
        <v>0.91600000000000004</v>
      </c>
    </row>
    <row r="71" spans="1:16" s="1" customFormat="1" ht="14.25">
      <c r="A71" s="3" t="s">
        <v>85</v>
      </c>
      <c r="B71" s="4">
        <v>12088.6</v>
      </c>
      <c r="C71" s="5">
        <v>0.88529999999999998</v>
      </c>
      <c r="D71" s="5">
        <v>0.87780000000000002</v>
      </c>
      <c r="E71" s="5">
        <v>0.85519999999999996</v>
      </c>
      <c r="F71" s="5">
        <v>0.88360000000000005</v>
      </c>
      <c r="G71" s="5">
        <v>0.89300000000000002</v>
      </c>
      <c r="H71" s="5">
        <v>0.89339999999999997</v>
      </c>
      <c r="I71" s="5">
        <v>0.89119999999999999</v>
      </c>
      <c r="J71" s="5">
        <v>0.79790000000000005</v>
      </c>
      <c r="K71" s="5">
        <v>0.88529999999999998</v>
      </c>
      <c r="L71" s="5">
        <v>0.8468</v>
      </c>
      <c r="M71" s="5">
        <v>0.86799999999999999</v>
      </c>
      <c r="N71" s="5">
        <v>0.92600000000000005</v>
      </c>
      <c r="O71" s="5">
        <v>0.92500000000000004</v>
      </c>
      <c r="P71" s="5">
        <v>0.92920000000000003</v>
      </c>
    </row>
    <row r="72" spans="1:16" s="1" customFormat="1" ht="14.25">
      <c r="A72" s="3" t="s">
        <v>86</v>
      </c>
      <c r="B72" s="4">
        <v>12888.9</v>
      </c>
      <c r="C72" s="5">
        <v>0.91310000000000002</v>
      </c>
      <c r="D72" s="5">
        <v>0.90810000000000002</v>
      </c>
      <c r="E72" s="5">
        <v>0.89629999999999999</v>
      </c>
      <c r="F72" s="5">
        <v>0.91110000000000002</v>
      </c>
      <c r="G72" s="5">
        <v>0.91800000000000004</v>
      </c>
      <c r="H72" s="5">
        <v>0.91830000000000001</v>
      </c>
      <c r="I72" s="5">
        <v>0.91669999999999996</v>
      </c>
      <c r="J72" s="5">
        <v>0.8458</v>
      </c>
      <c r="K72" s="5">
        <v>0.91310000000000002</v>
      </c>
      <c r="L72" s="5">
        <v>0.88670000000000004</v>
      </c>
      <c r="M72" s="5">
        <v>0.90059999999999996</v>
      </c>
      <c r="N72" s="5">
        <v>0.94369999999999998</v>
      </c>
      <c r="O72" s="5">
        <v>0.94230000000000003</v>
      </c>
      <c r="P72" s="5">
        <v>0.94840000000000002</v>
      </c>
    </row>
    <row r="73" spans="1:16" s="1" customFormat="1" ht="14.25">
      <c r="A73" s="3" t="s">
        <v>87</v>
      </c>
      <c r="B73" s="4">
        <v>13684.7</v>
      </c>
      <c r="C73" s="5">
        <v>0.94279999999999997</v>
      </c>
      <c r="D73" s="5">
        <v>0.9395</v>
      </c>
      <c r="E73" s="5">
        <v>0.93500000000000005</v>
      </c>
      <c r="F73" s="5">
        <v>0.94059999999999999</v>
      </c>
      <c r="G73" s="5">
        <v>0.94569999999999999</v>
      </c>
      <c r="H73" s="5">
        <v>0.94589999999999996</v>
      </c>
      <c r="I73" s="5">
        <v>0.9446</v>
      </c>
      <c r="J73" s="5">
        <v>0.88919999999999999</v>
      </c>
      <c r="K73" s="5">
        <v>0.94279999999999997</v>
      </c>
      <c r="L73" s="5">
        <v>0.92290000000000005</v>
      </c>
      <c r="M73" s="5">
        <v>0.93259999999999998</v>
      </c>
      <c r="N73" s="5">
        <v>0.96009999999999995</v>
      </c>
      <c r="O73" s="5">
        <v>0.95930000000000004</v>
      </c>
      <c r="P73" s="5">
        <v>0.96260000000000001</v>
      </c>
    </row>
    <row r="74" spans="1:16" s="1" customFormat="1" ht="14.25">
      <c r="A74" s="3" t="s">
        <v>88</v>
      </c>
      <c r="B74" s="4">
        <v>14322.9</v>
      </c>
      <c r="C74" s="5">
        <v>0.96840000000000004</v>
      </c>
      <c r="D74" s="5">
        <v>0.96430000000000005</v>
      </c>
      <c r="E74" s="5">
        <v>0.96479999999999999</v>
      </c>
      <c r="F74" s="5">
        <v>0.96419999999999995</v>
      </c>
      <c r="G74" s="5">
        <v>0.96589999999999998</v>
      </c>
      <c r="H74" s="5">
        <v>0.96599999999999997</v>
      </c>
      <c r="I74" s="5">
        <v>0.96550000000000002</v>
      </c>
      <c r="J74" s="5">
        <v>0.93540000000000001</v>
      </c>
      <c r="K74" s="5">
        <v>0.96840000000000004</v>
      </c>
      <c r="L74" s="5">
        <v>0.95620000000000005</v>
      </c>
      <c r="M74" s="5">
        <v>0.96330000000000005</v>
      </c>
      <c r="N74" s="5">
        <v>0.97489999999999999</v>
      </c>
      <c r="O74" s="5">
        <v>0.97440000000000004</v>
      </c>
      <c r="P74" s="5">
        <v>0.97660000000000002</v>
      </c>
    </row>
    <row r="75" spans="1:16" s="1" customFormat="1" ht="14.25">
      <c r="A75" s="3" t="s">
        <v>89</v>
      </c>
      <c r="B75" s="4">
        <v>14752.4</v>
      </c>
      <c r="C75" s="5">
        <v>0.98850000000000005</v>
      </c>
      <c r="D75" s="5">
        <v>0.998</v>
      </c>
      <c r="E75" s="5">
        <v>1.0019</v>
      </c>
      <c r="F75" s="5">
        <v>0.997</v>
      </c>
      <c r="G75" s="5">
        <v>0.99990000000000001</v>
      </c>
      <c r="H75" s="5">
        <v>1</v>
      </c>
      <c r="I75" s="5">
        <v>0.99960000000000004</v>
      </c>
      <c r="J75" s="5">
        <v>0.98109999999999997</v>
      </c>
      <c r="K75" s="5">
        <v>0.98850000000000005</v>
      </c>
      <c r="L75" s="5">
        <v>0.9879</v>
      </c>
      <c r="M75" s="5">
        <v>0.98929999999999996</v>
      </c>
      <c r="N75" s="5">
        <v>0.9929</v>
      </c>
      <c r="O75" s="5">
        <v>0.99209999999999998</v>
      </c>
      <c r="P75" s="5">
        <v>0.99560000000000004</v>
      </c>
    </row>
    <row r="76" spans="1:16" s="1" customFormat="1" ht="14.25">
      <c r="A76" s="3" t="s">
        <v>90</v>
      </c>
      <c r="B76" s="4">
        <v>14414.6</v>
      </c>
      <c r="C76" s="5">
        <v>1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  <c r="P76" s="5">
        <v>1</v>
      </c>
    </row>
    <row r="77" spans="1:16" s="1" customFormat="1" ht="14.25">
      <c r="A77" s="3" t="s">
        <v>91</v>
      </c>
      <c r="B77" s="4">
        <v>14798.5</v>
      </c>
      <c r="C77" s="5">
        <v>1.0087999999999999</v>
      </c>
      <c r="D77" s="5">
        <v>1.0157</v>
      </c>
      <c r="E77" s="5">
        <v>1.0183</v>
      </c>
      <c r="F77" s="5">
        <v>1.0150999999999999</v>
      </c>
      <c r="G77" s="5">
        <v>1.0162</v>
      </c>
      <c r="H77" s="5">
        <v>1.0163</v>
      </c>
      <c r="I77" s="5">
        <v>1.0159</v>
      </c>
      <c r="J77" s="5">
        <v>1.0149999999999999</v>
      </c>
      <c r="K77" s="5">
        <v>1.0087999999999999</v>
      </c>
      <c r="L77" s="5">
        <v>1.032</v>
      </c>
      <c r="M77" s="5">
        <v>1.0152000000000001</v>
      </c>
      <c r="N77" s="5">
        <v>1.0069999999999999</v>
      </c>
      <c r="O77" s="5">
        <v>1.0052000000000001</v>
      </c>
      <c r="P77" s="5">
        <v>1.0126999999999999</v>
      </c>
    </row>
    <row r="78" spans="1:16" s="1" customFormat="1" ht="14.25">
      <c r="A78" s="3" t="s">
        <v>92</v>
      </c>
      <c r="B78" s="4">
        <v>15379.2</v>
      </c>
      <c r="C78" s="5">
        <v>1.0293000000000001</v>
      </c>
      <c r="D78" s="5">
        <v>1.0395000000000001</v>
      </c>
      <c r="E78" s="5">
        <v>1.0496000000000001</v>
      </c>
      <c r="F78" s="5">
        <v>1.0370999999999999</v>
      </c>
      <c r="G78" s="5">
        <v>1.0377000000000001</v>
      </c>
      <c r="H78" s="5">
        <v>1.0378000000000001</v>
      </c>
      <c r="I78" s="5">
        <v>1.0374000000000001</v>
      </c>
      <c r="J78" s="5">
        <v>1.0431999999999999</v>
      </c>
      <c r="K78" s="5">
        <v>1.0293000000000001</v>
      </c>
      <c r="L78" s="5">
        <v>1.0686</v>
      </c>
      <c r="M78" s="5">
        <v>1.0466</v>
      </c>
      <c r="N78" s="5">
        <v>1.0278</v>
      </c>
      <c r="O78" s="5">
        <v>1.0248999999999999</v>
      </c>
      <c r="P78" s="5">
        <v>1.0361</v>
      </c>
    </row>
    <row r="79" spans="1:16" s="1" customFormat="1" ht="14.25">
      <c r="A79" s="3" t="s">
        <v>93</v>
      </c>
      <c r="B79" s="4">
        <v>16027.2</v>
      </c>
      <c r="C79" s="5">
        <v>1.0481</v>
      </c>
      <c r="D79" s="5">
        <v>1.0603</v>
      </c>
      <c r="E79" s="5">
        <v>1.0647</v>
      </c>
      <c r="F79" s="5">
        <v>1.0591999999999999</v>
      </c>
      <c r="G79" s="5">
        <v>1.0597000000000001</v>
      </c>
      <c r="H79" s="5">
        <v>1.0597000000000001</v>
      </c>
      <c r="I79" s="5">
        <v>1.0596000000000001</v>
      </c>
      <c r="J79" s="5">
        <v>1.0692999999999999</v>
      </c>
      <c r="K79" s="5">
        <v>1.0481</v>
      </c>
      <c r="L79" s="5">
        <v>1.0839000000000001</v>
      </c>
      <c r="M79" s="5">
        <v>1.0683</v>
      </c>
      <c r="N79" s="5">
        <v>1.0394000000000001</v>
      </c>
      <c r="O79" s="5">
        <v>1.0373000000000001</v>
      </c>
      <c r="P79" s="5">
        <v>1.0459000000000001</v>
      </c>
    </row>
    <row r="80" spans="1:16" s="1" customFormat="1" ht="14.25">
      <c r="A80" s="3" t="s">
        <v>94</v>
      </c>
      <c r="B80" s="4">
        <v>16515.900000000001</v>
      </c>
      <c r="C80" s="5">
        <v>1.0658000000000001</v>
      </c>
      <c r="D80" s="5">
        <v>1.0740000000000001</v>
      </c>
      <c r="E80" s="5">
        <v>1.0716000000000001</v>
      </c>
      <c r="F80" s="5">
        <v>1.0745</v>
      </c>
      <c r="G80" s="5">
        <v>1.0752999999999999</v>
      </c>
      <c r="H80" s="5">
        <v>1.0752999999999999</v>
      </c>
      <c r="I80" s="5">
        <v>1.0752999999999999</v>
      </c>
      <c r="J80" s="5">
        <v>1.0913999999999999</v>
      </c>
      <c r="K80" s="5">
        <v>1.0658000000000001</v>
      </c>
      <c r="L80" s="5">
        <v>1.0921000000000001</v>
      </c>
      <c r="M80" s="5">
        <v>1.0665</v>
      </c>
      <c r="N80" s="5">
        <v>1.0450999999999999</v>
      </c>
      <c r="O80" s="5">
        <v>1.0412999999999999</v>
      </c>
      <c r="P80" s="5">
        <v>1.0558000000000001</v>
      </c>
    </row>
    <row r="81" spans="1:16" s="1" customFormat="1" ht="14.25">
      <c r="A81" s="3" t="s">
        <v>95</v>
      </c>
      <c r="B81" s="4">
        <v>17220</v>
      </c>
      <c r="C81" s="5">
        <v>1.0852999999999999</v>
      </c>
      <c r="D81" s="5">
        <v>1.0906</v>
      </c>
      <c r="E81" s="5">
        <v>1.0898000000000001</v>
      </c>
      <c r="F81" s="5">
        <v>1.0907</v>
      </c>
      <c r="G81" s="5">
        <v>1.0913999999999999</v>
      </c>
      <c r="H81" s="5">
        <v>1.0913999999999999</v>
      </c>
      <c r="I81" s="5">
        <v>1.0913999999999999</v>
      </c>
      <c r="J81" s="5">
        <v>1.1153999999999999</v>
      </c>
      <c r="K81" s="5">
        <v>1.0852999999999999</v>
      </c>
      <c r="L81" s="5">
        <v>1.131</v>
      </c>
      <c r="M81" s="5">
        <v>1.0825</v>
      </c>
      <c r="N81" s="5">
        <v>1.0595000000000001</v>
      </c>
      <c r="O81" s="5">
        <v>1.0543</v>
      </c>
      <c r="P81" s="5">
        <v>1.0762</v>
      </c>
    </row>
    <row r="82" spans="1:16" s="1" customFormat="1" ht="14.25">
      <c r="A82" s="3" t="s">
        <v>96</v>
      </c>
      <c r="B82" s="4">
        <v>17904</v>
      </c>
      <c r="C82" s="5">
        <v>1.0981000000000001</v>
      </c>
      <c r="D82" s="5">
        <v>1.0975999999999999</v>
      </c>
      <c r="E82" s="5">
        <v>1.0938000000000001</v>
      </c>
      <c r="F82" s="5">
        <v>1.0983000000000001</v>
      </c>
      <c r="G82" s="5">
        <v>1.0973999999999999</v>
      </c>
      <c r="H82" s="5">
        <v>1.0973999999999999</v>
      </c>
      <c r="I82" s="5">
        <v>1.0974999999999999</v>
      </c>
      <c r="J82" s="5">
        <v>1.1266</v>
      </c>
      <c r="K82" s="5">
        <v>1.0981000000000001</v>
      </c>
      <c r="L82" s="5">
        <v>1.1433</v>
      </c>
      <c r="M82" s="5">
        <v>1.1161000000000001</v>
      </c>
      <c r="N82" s="5">
        <v>1.0656000000000001</v>
      </c>
      <c r="O82" s="5">
        <v>1.0588</v>
      </c>
      <c r="P82" s="5">
        <v>1.0846</v>
      </c>
    </row>
    <row r="83" spans="1:16" s="1" customFormat="1" ht="14.25">
      <c r="A83" s="3" t="s">
        <v>97</v>
      </c>
      <c r="B83" s="4">
        <v>18407.400000000001</v>
      </c>
      <c r="C83" s="5">
        <v>1.1112</v>
      </c>
      <c r="D83" s="5">
        <v>1.1066</v>
      </c>
      <c r="E83" s="5">
        <v>1.0989</v>
      </c>
      <c r="F83" s="5">
        <v>1.1080000000000001</v>
      </c>
      <c r="G83" s="5">
        <v>1.1066</v>
      </c>
      <c r="H83" s="5">
        <v>1.1066</v>
      </c>
      <c r="I83" s="5">
        <v>1.1067</v>
      </c>
      <c r="J83" s="5">
        <v>1.1345000000000001</v>
      </c>
      <c r="K83" s="5">
        <v>1.1112</v>
      </c>
      <c r="L83" s="5">
        <v>1.1577999999999999</v>
      </c>
      <c r="M83" s="5">
        <v>1.1281000000000001</v>
      </c>
      <c r="N83" s="5">
        <v>1.0669</v>
      </c>
      <c r="O83" s="5">
        <v>1.0596000000000001</v>
      </c>
      <c r="P83" s="5">
        <v>1.0885</v>
      </c>
    </row>
    <row r="84" spans="1:16" s="1" customFormat="1" ht="14.25">
      <c r="A84" s="3" t="s">
        <v>98</v>
      </c>
      <c r="B84" s="4">
        <v>19161.900000000001</v>
      </c>
      <c r="C84" s="5">
        <v>1.1315999999999999</v>
      </c>
      <c r="D84" s="5">
        <v>1.1321000000000001</v>
      </c>
      <c r="E84" s="5">
        <v>1.1191</v>
      </c>
      <c r="F84" s="5">
        <v>1.1344000000000001</v>
      </c>
      <c r="G84" s="5">
        <v>1.1331</v>
      </c>
      <c r="H84" s="5">
        <v>1.1331</v>
      </c>
      <c r="I84" s="5">
        <v>1.1332</v>
      </c>
      <c r="J84" s="5">
        <v>1.1634</v>
      </c>
      <c r="K84" s="5">
        <v>1.1315999999999999</v>
      </c>
      <c r="L84" s="5">
        <v>1.179</v>
      </c>
      <c r="M84" s="5">
        <v>1.1515</v>
      </c>
      <c r="N84" s="5">
        <v>1.0872999999999999</v>
      </c>
      <c r="O84" s="5">
        <v>1.0790999999999999</v>
      </c>
      <c r="P84" s="5">
        <v>1.1085</v>
      </c>
    </row>
    <row r="85" spans="1:16" s="1" customFormat="1" ht="14.25">
      <c r="A85" s="3" t="s">
        <v>99</v>
      </c>
      <c r="B85" s="4">
        <v>20013.7</v>
      </c>
      <c r="C85" s="5">
        <v>1.1545000000000001</v>
      </c>
      <c r="D85" s="5">
        <v>1.1567000000000001</v>
      </c>
      <c r="E85" s="5">
        <v>1.1394</v>
      </c>
      <c r="F85" s="5">
        <v>1.1600999999999999</v>
      </c>
      <c r="G85" s="5">
        <v>1.1592</v>
      </c>
      <c r="H85" s="5">
        <v>1.1591</v>
      </c>
      <c r="I85" s="5">
        <v>1.1593</v>
      </c>
      <c r="J85" s="5">
        <v>1.1986000000000001</v>
      </c>
      <c r="K85" s="5">
        <v>1.1545000000000001</v>
      </c>
      <c r="L85" s="5">
        <v>1.2028000000000001</v>
      </c>
      <c r="M85" s="5">
        <v>1.1738999999999999</v>
      </c>
      <c r="N85" s="5">
        <v>1.1065</v>
      </c>
      <c r="O85" s="5">
        <v>1.1008</v>
      </c>
      <c r="P85" s="5">
        <v>1.1309</v>
      </c>
    </row>
    <row r="86" spans="1:16" s="1" customFormat="1" ht="14.25">
      <c r="A86" s="3" t="s">
        <v>100</v>
      </c>
      <c r="B86" s="4">
        <v>20947.3</v>
      </c>
      <c r="C86" s="5">
        <v>1.1775</v>
      </c>
      <c r="D86" s="5">
        <v>1.1828000000000001</v>
      </c>
      <c r="E86" s="5">
        <v>1.1621999999999999</v>
      </c>
      <c r="F86" s="5">
        <v>1.1867000000000001</v>
      </c>
      <c r="G86" s="5">
        <v>1.1858</v>
      </c>
      <c r="H86" s="5">
        <v>1.1857</v>
      </c>
      <c r="I86" s="5">
        <v>1.1859</v>
      </c>
      <c r="J86" s="5">
        <v>1.2336</v>
      </c>
      <c r="K86" s="5">
        <v>1.1775</v>
      </c>
      <c r="L86" s="5">
        <v>1.2269000000000001</v>
      </c>
      <c r="M86" s="5">
        <v>1.1973</v>
      </c>
      <c r="N86" s="5">
        <v>1.127</v>
      </c>
      <c r="O86" s="5">
        <v>1.1229</v>
      </c>
      <c r="P86" s="5">
        <v>1.1535</v>
      </c>
    </row>
    <row r="87" spans="1:16" s="1" customFormat="1" ht="14.25">
      <c r="A87" s="3" t="s">
        <v>101</v>
      </c>
      <c r="B87" s="4">
        <v>21980.6</v>
      </c>
      <c r="C87" s="5">
        <v>1.2011000000000001</v>
      </c>
      <c r="D87" s="5">
        <v>1.2095</v>
      </c>
      <c r="E87" s="5">
        <v>1.1854</v>
      </c>
      <c r="F87" s="5">
        <v>1.214</v>
      </c>
      <c r="G87" s="5">
        <v>1.2131000000000001</v>
      </c>
      <c r="H87" s="5">
        <v>1.2130000000000001</v>
      </c>
      <c r="I87" s="5">
        <v>1.2132000000000001</v>
      </c>
      <c r="J87" s="5">
        <v>1.2716000000000001</v>
      </c>
      <c r="K87" s="5">
        <v>1.2011000000000001</v>
      </c>
      <c r="L87" s="5">
        <v>1.2514000000000001</v>
      </c>
      <c r="M87" s="5">
        <v>1.2213000000000001</v>
      </c>
      <c r="N87" s="5">
        <v>1.1482000000000001</v>
      </c>
      <c r="O87" s="5">
        <v>1.1453</v>
      </c>
      <c r="P87" s="5">
        <v>1.1765000000000001</v>
      </c>
    </row>
    <row r="88" spans="1:16" s="1" customFormat="1" ht="14.25">
      <c r="A88" s="3" t="s">
        <v>102</v>
      </c>
      <c r="B88" s="4">
        <v>23092.7</v>
      </c>
      <c r="C88" s="5">
        <v>1.2251000000000001</v>
      </c>
      <c r="D88" s="5">
        <v>1.2369000000000001</v>
      </c>
      <c r="E88" s="5">
        <v>1.2091000000000001</v>
      </c>
      <c r="F88" s="5">
        <v>1.2418</v>
      </c>
      <c r="G88" s="5">
        <v>1.2408999999999999</v>
      </c>
      <c r="H88" s="5">
        <v>1.2408999999999999</v>
      </c>
      <c r="I88" s="5">
        <v>1.2411000000000001</v>
      </c>
      <c r="J88" s="5">
        <v>1.3098000000000001</v>
      </c>
      <c r="K88" s="5">
        <v>1.2251000000000001</v>
      </c>
      <c r="L88" s="5">
        <v>1.2764</v>
      </c>
      <c r="M88" s="5">
        <v>1.2457</v>
      </c>
      <c r="N88" s="5">
        <v>1.1698999999999999</v>
      </c>
      <c r="O88" s="5">
        <v>1.1681999999999999</v>
      </c>
      <c r="P88" s="5">
        <v>1.2000999999999999</v>
      </c>
    </row>
    <row r="89" spans="1:16" s="1" customFormat="1" ht="15" customHeight="1">
      <c r="A89" s="6" t="s">
        <v>103</v>
      </c>
      <c r="B89" s="7">
        <v>24261.3</v>
      </c>
      <c r="C89" s="8">
        <v>1.2496</v>
      </c>
      <c r="D89" s="8">
        <v>1.2646999999999999</v>
      </c>
      <c r="E89" s="8">
        <v>1.2333000000000001</v>
      </c>
      <c r="F89" s="8">
        <v>1.2699</v>
      </c>
      <c r="G89" s="8">
        <v>1.2694000000000001</v>
      </c>
      <c r="H89" s="8">
        <v>1.2694000000000001</v>
      </c>
      <c r="I89" s="8">
        <v>1.2696000000000001</v>
      </c>
      <c r="J89" s="8">
        <v>1.3519000000000001</v>
      </c>
      <c r="K89" s="8">
        <v>1.2496</v>
      </c>
      <c r="L89" s="8">
        <v>1.302</v>
      </c>
      <c r="M89" s="8">
        <v>1.2706</v>
      </c>
      <c r="N89" s="8">
        <v>1.1924999999999999</v>
      </c>
      <c r="O89" s="8">
        <v>1.1916</v>
      </c>
      <c r="P89" s="8">
        <v>1.2241</v>
      </c>
    </row>
    <row r="90" spans="1:16" s="1" customFormat="1" ht="14.25" customHeight="1">
      <c r="A90" s="226" t="s">
        <v>104</v>
      </c>
      <c r="B90" s="226"/>
      <c r="C90" s="226"/>
      <c r="D90" s="226"/>
      <c r="E90" s="226"/>
      <c r="F90" s="226"/>
      <c r="G90" s="226"/>
      <c r="H90" s="226"/>
      <c r="I90" s="226"/>
      <c r="J90" s="226"/>
    </row>
    <row r="92" spans="1:16">
      <c r="A92" s="1" t="s">
        <v>105</v>
      </c>
    </row>
  </sheetData>
  <sheetProtection algorithmName="SHA-512" hashValue="l2n/A5XKxb/+dv9EWmvNRVyOEMJ54H8Y8RgHXvdhnTLdJq5jmlU2Hl1SMNgTQ6OhjFis4lnYqmeXp6omzGmVtg==" saltValue="k1nGC80FPc9lDP1Qn3WUAg==" spinCount="100000" sheet="1" objects="1" scenarios="1"/>
  <mergeCells count="16">
    <mergeCell ref="A90:J90"/>
    <mergeCell ref="A1:K1"/>
    <mergeCell ref="A2:J2"/>
    <mergeCell ref="A3:A5"/>
    <mergeCell ref="B3:B5"/>
    <mergeCell ref="C3:C5"/>
    <mergeCell ref="D3:P3"/>
    <mergeCell ref="D4:D5"/>
    <mergeCell ref="E4:E5"/>
    <mergeCell ref="F4:F5"/>
    <mergeCell ref="G4:I4"/>
    <mergeCell ref="J4:J5"/>
    <mergeCell ref="K4:K5"/>
    <mergeCell ref="L4:L5"/>
    <mergeCell ref="M4:M5"/>
    <mergeCell ref="N4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9DDE-37A7-4ABF-B1E9-6DF9F3602488}">
  <dimension ref="A1:I106"/>
  <sheetViews>
    <sheetView workbookViewId="0">
      <selection sqref="A1:XFD1048576"/>
    </sheetView>
  </sheetViews>
  <sheetFormatPr defaultColWidth="8.85546875" defaultRowHeight="12.75"/>
  <cols>
    <col min="1" max="1" width="16.7109375" style="9" bestFit="1" customWidth="1"/>
    <col min="2" max="3" width="27.7109375" style="9" bestFit="1" customWidth="1"/>
    <col min="4" max="4" width="13.85546875" style="9" bestFit="1" customWidth="1"/>
    <col min="5" max="5" width="9.7109375" style="9" bestFit="1" customWidth="1"/>
    <col min="6" max="7" width="13.85546875" style="9" bestFit="1" customWidth="1"/>
    <col min="8" max="8" width="22.28515625" style="9" bestFit="1" customWidth="1"/>
    <col min="9" max="9" width="18.140625" style="9" bestFit="1" customWidth="1"/>
    <col min="10" max="256" width="8.85546875" style="9"/>
    <col min="257" max="257" width="16.7109375" style="9" bestFit="1" customWidth="1"/>
    <col min="258" max="259" width="27.7109375" style="9" bestFit="1" customWidth="1"/>
    <col min="260" max="260" width="13.85546875" style="9" bestFit="1" customWidth="1"/>
    <col min="261" max="261" width="9.7109375" style="9" bestFit="1" customWidth="1"/>
    <col min="262" max="263" width="13.85546875" style="9" bestFit="1" customWidth="1"/>
    <col min="264" max="264" width="22.28515625" style="9" bestFit="1" customWidth="1"/>
    <col min="265" max="265" width="18.140625" style="9" bestFit="1" customWidth="1"/>
    <col min="266" max="512" width="8.85546875" style="9"/>
    <col min="513" max="513" width="16.7109375" style="9" bestFit="1" customWidth="1"/>
    <col min="514" max="515" width="27.7109375" style="9" bestFit="1" customWidth="1"/>
    <col min="516" max="516" width="13.85546875" style="9" bestFit="1" customWidth="1"/>
    <col min="517" max="517" width="9.7109375" style="9" bestFit="1" customWidth="1"/>
    <col min="518" max="519" width="13.85546875" style="9" bestFit="1" customWidth="1"/>
    <col min="520" max="520" width="22.28515625" style="9" bestFit="1" customWidth="1"/>
    <col min="521" max="521" width="18.140625" style="9" bestFit="1" customWidth="1"/>
    <col min="522" max="768" width="8.85546875" style="9"/>
    <col min="769" max="769" width="16.7109375" style="9" bestFit="1" customWidth="1"/>
    <col min="770" max="771" width="27.7109375" style="9" bestFit="1" customWidth="1"/>
    <col min="772" max="772" width="13.85546875" style="9" bestFit="1" customWidth="1"/>
    <col min="773" max="773" width="9.7109375" style="9" bestFit="1" customWidth="1"/>
    <col min="774" max="775" width="13.85546875" style="9" bestFit="1" customWidth="1"/>
    <col min="776" max="776" width="22.28515625" style="9" bestFit="1" customWidth="1"/>
    <col min="777" max="777" width="18.140625" style="9" bestFit="1" customWidth="1"/>
    <col min="778" max="1024" width="8.85546875" style="9"/>
    <col min="1025" max="1025" width="16.7109375" style="9" bestFit="1" customWidth="1"/>
    <col min="1026" max="1027" width="27.7109375" style="9" bestFit="1" customWidth="1"/>
    <col min="1028" max="1028" width="13.85546875" style="9" bestFit="1" customWidth="1"/>
    <col min="1029" max="1029" width="9.7109375" style="9" bestFit="1" customWidth="1"/>
    <col min="1030" max="1031" width="13.85546875" style="9" bestFit="1" customWidth="1"/>
    <col min="1032" max="1032" width="22.28515625" style="9" bestFit="1" customWidth="1"/>
    <col min="1033" max="1033" width="18.140625" style="9" bestFit="1" customWidth="1"/>
    <col min="1034" max="1280" width="8.85546875" style="9"/>
    <col min="1281" max="1281" width="16.7109375" style="9" bestFit="1" customWidth="1"/>
    <col min="1282" max="1283" width="27.7109375" style="9" bestFit="1" customWidth="1"/>
    <col min="1284" max="1284" width="13.85546875" style="9" bestFit="1" customWidth="1"/>
    <col min="1285" max="1285" width="9.7109375" style="9" bestFit="1" customWidth="1"/>
    <col min="1286" max="1287" width="13.85546875" style="9" bestFit="1" customWidth="1"/>
    <col min="1288" max="1288" width="22.28515625" style="9" bestFit="1" customWidth="1"/>
    <col min="1289" max="1289" width="18.140625" style="9" bestFit="1" customWidth="1"/>
    <col min="1290" max="1536" width="8.85546875" style="9"/>
    <col min="1537" max="1537" width="16.7109375" style="9" bestFit="1" customWidth="1"/>
    <col min="1538" max="1539" width="27.7109375" style="9" bestFit="1" customWidth="1"/>
    <col min="1540" max="1540" width="13.85546875" style="9" bestFit="1" customWidth="1"/>
    <col min="1541" max="1541" width="9.7109375" style="9" bestFit="1" customWidth="1"/>
    <col min="1542" max="1543" width="13.85546875" style="9" bestFit="1" customWidth="1"/>
    <col min="1544" max="1544" width="22.28515625" style="9" bestFit="1" customWidth="1"/>
    <col min="1545" max="1545" width="18.140625" style="9" bestFit="1" customWidth="1"/>
    <col min="1546" max="1792" width="8.85546875" style="9"/>
    <col min="1793" max="1793" width="16.7109375" style="9" bestFit="1" customWidth="1"/>
    <col min="1794" max="1795" width="27.7109375" style="9" bestFit="1" customWidth="1"/>
    <col min="1796" max="1796" width="13.85546875" style="9" bestFit="1" customWidth="1"/>
    <col min="1797" max="1797" width="9.7109375" style="9" bestFit="1" customWidth="1"/>
    <col min="1798" max="1799" width="13.85546875" style="9" bestFit="1" customWidth="1"/>
    <col min="1800" max="1800" width="22.28515625" style="9" bestFit="1" customWidth="1"/>
    <col min="1801" max="1801" width="18.140625" style="9" bestFit="1" customWidth="1"/>
    <col min="1802" max="2048" width="8.85546875" style="9"/>
    <col min="2049" max="2049" width="16.7109375" style="9" bestFit="1" customWidth="1"/>
    <col min="2050" max="2051" width="27.7109375" style="9" bestFit="1" customWidth="1"/>
    <col min="2052" max="2052" width="13.85546875" style="9" bestFit="1" customWidth="1"/>
    <col min="2053" max="2053" width="9.7109375" style="9" bestFit="1" customWidth="1"/>
    <col min="2054" max="2055" width="13.85546875" style="9" bestFit="1" customWidth="1"/>
    <col min="2056" max="2056" width="22.28515625" style="9" bestFit="1" customWidth="1"/>
    <col min="2057" max="2057" width="18.140625" style="9" bestFit="1" customWidth="1"/>
    <col min="2058" max="2304" width="8.85546875" style="9"/>
    <col min="2305" max="2305" width="16.7109375" style="9" bestFit="1" customWidth="1"/>
    <col min="2306" max="2307" width="27.7109375" style="9" bestFit="1" customWidth="1"/>
    <col min="2308" max="2308" width="13.85546875" style="9" bestFit="1" customWidth="1"/>
    <col min="2309" max="2309" width="9.7109375" style="9" bestFit="1" customWidth="1"/>
    <col min="2310" max="2311" width="13.85546875" style="9" bestFit="1" customWidth="1"/>
    <col min="2312" max="2312" width="22.28515625" style="9" bestFit="1" customWidth="1"/>
    <col min="2313" max="2313" width="18.140625" style="9" bestFit="1" customWidth="1"/>
    <col min="2314" max="2560" width="8.85546875" style="9"/>
    <col min="2561" max="2561" width="16.7109375" style="9" bestFit="1" customWidth="1"/>
    <col min="2562" max="2563" width="27.7109375" style="9" bestFit="1" customWidth="1"/>
    <col min="2564" max="2564" width="13.85546875" style="9" bestFit="1" customWidth="1"/>
    <col min="2565" max="2565" width="9.7109375" style="9" bestFit="1" customWidth="1"/>
    <col min="2566" max="2567" width="13.85546875" style="9" bestFit="1" customWidth="1"/>
    <col min="2568" max="2568" width="22.28515625" style="9" bestFit="1" customWidth="1"/>
    <col min="2569" max="2569" width="18.140625" style="9" bestFit="1" customWidth="1"/>
    <col min="2570" max="2816" width="8.85546875" style="9"/>
    <col min="2817" max="2817" width="16.7109375" style="9" bestFit="1" customWidth="1"/>
    <col min="2818" max="2819" width="27.7109375" style="9" bestFit="1" customWidth="1"/>
    <col min="2820" max="2820" width="13.85546875" style="9" bestFit="1" customWidth="1"/>
    <col min="2821" max="2821" width="9.7109375" style="9" bestFit="1" customWidth="1"/>
    <col min="2822" max="2823" width="13.85546875" style="9" bestFit="1" customWidth="1"/>
    <col min="2824" max="2824" width="22.28515625" style="9" bestFit="1" customWidth="1"/>
    <col min="2825" max="2825" width="18.140625" style="9" bestFit="1" customWidth="1"/>
    <col min="2826" max="3072" width="8.85546875" style="9"/>
    <col min="3073" max="3073" width="16.7109375" style="9" bestFit="1" customWidth="1"/>
    <col min="3074" max="3075" width="27.7109375" style="9" bestFit="1" customWidth="1"/>
    <col min="3076" max="3076" width="13.85546875" style="9" bestFit="1" customWidth="1"/>
    <col min="3077" max="3077" width="9.7109375" style="9" bestFit="1" customWidth="1"/>
    <col min="3078" max="3079" width="13.85546875" style="9" bestFit="1" customWidth="1"/>
    <col min="3080" max="3080" width="22.28515625" style="9" bestFit="1" customWidth="1"/>
    <col min="3081" max="3081" width="18.140625" style="9" bestFit="1" customWidth="1"/>
    <col min="3082" max="3328" width="8.85546875" style="9"/>
    <col min="3329" max="3329" width="16.7109375" style="9" bestFit="1" customWidth="1"/>
    <col min="3330" max="3331" width="27.7109375" style="9" bestFit="1" customWidth="1"/>
    <col min="3332" max="3332" width="13.85546875" style="9" bestFit="1" customWidth="1"/>
    <col min="3333" max="3333" width="9.7109375" style="9" bestFit="1" customWidth="1"/>
    <col min="3334" max="3335" width="13.85546875" style="9" bestFit="1" customWidth="1"/>
    <col min="3336" max="3336" width="22.28515625" style="9" bestFit="1" customWidth="1"/>
    <col min="3337" max="3337" width="18.140625" style="9" bestFit="1" customWidth="1"/>
    <col min="3338" max="3584" width="8.85546875" style="9"/>
    <col min="3585" max="3585" width="16.7109375" style="9" bestFit="1" customWidth="1"/>
    <col min="3586" max="3587" width="27.7109375" style="9" bestFit="1" customWidth="1"/>
    <col min="3588" max="3588" width="13.85546875" style="9" bestFit="1" customWidth="1"/>
    <col min="3589" max="3589" width="9.7109375" style="9" bestFit="1" customWidth="1"/>
    <col min="3590" max="3591" width="13.85546875" style="9" bestFit="1" customWidth="1"/>
    <col min="3592" max="3592" width="22.28515625" style="9" bestFit="1" customWidth="1"/>
    <col min="3593" max="3593" width="18.140625" style="9" bestFit="1" customWidth="1"/>
    <col min="3594" max="3840" width="8.85546875" style="9"/>
    <col min="3841" max="3841" width="16.7109375" style="9" bestFit="1" customWidth="1"/>
    <col min="3842" max="3843" width="27.7109375" style="9" bestFit="1" customWidth="1"/>
    <col min="3844" max="3844" width="13.85546875" style="9" bestFit="1" customWidth="1"/>
    <col min="3845" max="3845" width="9.7109375" style="9" bestFit="1" customWidth="1"/>
    <col min="3846" max="3847" width="13.85546875" style="9" bestFit="1" customWidth="1"/>
    <col min="3848" max="3848" width="22.28515625" style="9" bestFit="1" customWidth="1"/>
    <col min="3849" max="3849" width="18.140625" style="9" bestFit="1" customWidth="1"/>
    <col min="3850" max="4096" width="8.85546875" style="9"/>
    <col min="4097" max="4097" width="16.7109375" style="9" bestFit="1" customWidth="1"/>
    <col min="4098" max="4099" width="27.7109375" style="9" bestFit="1" customWidth="1"/>
    <col min="4100" max="4100" width="13.85546875" style="9" bestFit="1" customWidth="1"/>
    <col min="4101" max="4101" width="9.7109375" style="9" bestFit="1" customWidth="1"/>
    <col min="4102" max="4103" width="13.85546875" style="9" bestFit="1" customWidth="1"/>
    <col min="4104" max="4104" width="22.28515625" style="9" bestFit="1" customWidth="1"/>
    <col min="4105" max="4105" width="18.140625" style="9" bestFit="1" customWidth="1"/>
    <col min="4106" max="4352" width="8.85546875" style="9"/>
    <col min="4353" max="4353" width="16.7109375" style="9" bestFit="1" customWidth="1"/>
    <col min="4354" max="4355" width="27.7109375" style="9" bestFit="1" customWidth="1"/>
    <col min="4356" max="4356" width="13.85546875" style="9" bestFit="1" customWidth="1"/>
    <col min="4357" max="4357" width="9.7109375" style="9" bestFit="1" customWidth="1"/>
    <col min="4358" max="4359" width="13.85546875" style="9" bestFit="1" customWidth="1"/>
    <col min="4360" max="4360" width="22.28515625" style="9" bestFit="1" customWidth="1"/>
    <col min="4361" max="4361" width="18.140625" style="9" bestFit="1" customWidth="1"/>
    <col min="4362" max="4608" width="8.85546875" style="9"/>
    <col min="4609" max="4609" width="16.7109375" style="9" bestFit="1" customWidth="1"/>
    <col min="4610" max="4611" width="27.7109375" style="9" bestFit="1" customWidth="1"/>
    <col min="4612" max="4612" width="13.85546875" style="9" bestFit="1" customWidth="1"/>
    <col min="4613" max="4613" width="9.7109375" style="9" bestFit="1" customWidth="1"/>
    <col min="4614" max="4615" width="13.85546875" style="9" bestFit="1" customWidth="1"/>
    <col min="4616" max="4616" width="22.28515625" style="9" bestFit="1" customWidth="1"/>
    <col min="4617" max="4617" width="18.140625" style="9" bestFit="1" customWidth="1"/>
    <col min="4618" max="4864" width="8.85546875" style="9"/>
    <col min="4865" max="4865" width="16.7109375" style="9" bestFit="1" customWidth="1"/>
    <col min="4866" max="4867" width="27.7109375" style="9" bestFit="1" customWidth="1"/>
    <col min="4868" max="4868" width="13.85546875" style="9" bestFit="1" customWidth="1"/>
    <col min="4869" max="4869" width="9.7109375" style="9" bestFit="1" customWidth="1"/>
    <col min="4870" max="4871" width="13.85546875" style="9" bestFit="1" customWidth="1"/>
    <col min="4872" max="4872" width="22.28515625" style="9" bestFit="1" customWidth="1"/>
    <col min="4873" max="4873" width="18.140625" style="9" bestFit="1" customWidth="1"/>
    <col min="4874" max="5120" width="8.85546875" style="9"/>
    <col min="5121" max="5121" width="16.7109375" style="9" bestFit="1" customWidth="1"/>
    <col min="5122" max="5123" width="27.7109375" style="9" bestFit="1" customWidth="1"/>
    <col min="5124" max="5124" width="13.85546875" style="9" bestFit="1" customWidth="1"/>
    <col min="5125" max="5125" width="9.7109375" style="9" bestFit="1" customWidth="1"/>
    <col min="5126" max="5127" width="13.85546875" style="9" bestFit="1" customWidth="1"/>
    <col min="5128" max="5128" width="22.28515625" style="9" bestFit="1" customWidth="1"/>
    <col min="5129" max="5129" width="18.140625" style="9" bestFit="1" customWidth="1"/>
    <col min="5130" max="5376" width="8.85546875" style="9"/>
    <col min="5377" max="5377" width="16.7109375" style="9" bestFit="1" customWidth="1"/>
    <col min="5378" max="5379" width="27.7109375" style="9" bestFit="1" customWidth="1"/>
    <col min="5380" max="5380" width="13.85546875" style="9" bestFit="1" customWidth="1"/>
    <col min="5381" max="5381" width="9.7109375" style="9" bestFit="1" customWidth="1"/>
    <col min="5382" max="5383" width="13.85546875" style="9" bestFit="1" customWidth="1"/>
    <col min="5384" max="5384" width="22.28515625" style="9" bestFit="1" customWidth="1"/>
    <col min="5385" max="5385" width="18.140625" style="9" bestFit="1" customWidth="1"/>
    <col min="5386" max="5632" width="8.85546875" style="9"/>
    <col min="5633" max="5633" width="16.7109375" style="9" bestFit="1" customWidth="1"/>
    <col min="5634" max="5635" width="27.7109375" style="9" bestFit="1" customWidth="1"/>
    <col min="5636" max="5636" width="13.85546875" style="9" bestFit="1" customWidth="1"/>
    <col min="5637" max="5637" width="9.7109375" style="9" bestFit="1" customWidth="1"/>
    <col min="5638" max="5639" width="13.85546875" style="9" bestFit="1" customWidth="1"/>
    <col min="5640" max="5640" width="22.28515625" style="9" bestFit="1" customWidth="1"/>
    <col min="5641" max="5641" width="18.140625" style="9" bestFit="1" customWidth="1"/>
    <col min="5642" max="5888" width="8.85546875" style="9"/>
    <col min="5889" max="5889" width="16.7109375" style="9" bestFit="1" customWidth="1"/>
    <col min="5890" max="5891" width="27.7109375" style="9" bestFit="1" customWidth="1"/>
    <col min="5892" max="5892" width="13.85546875" style="9" bestFit="1" customWidth="1"/>
    <col min="5893" max="5893" width="9.7109375" style="9" bestFit="1" customWidth="1"/>
    <col min="5894" max="5895" width="13.85546875" style="9" bestFit="1" customWidth="1"/>
    <col min="5896" max="5896" width="22.28515625" style="9" bestFit="1" customWidth="1"/>
    <col min="5897" max="5897" width="18.140625" style="9" bestFit="1" customWidth="1"/>
    <col min="5898" max="6144" width="8.85546875" style="9"/>
    <col min="6145" max="6145" width="16.7109375" style="9" bestFit="1" customWidth="1"/>
    <col min="6146" max="6147" width="27.7109375" style="9" bestFit="1" customWidth="1"/>
    <col min="6148" max="6148" width="13.85546875" style="9" bestFit="1" customWidth="1"/>
    <col min="6149" max="6149" width="9.7109375" style="9" bestFit="1" customWidth="1"/>
    <col min="6150" max="6151" width="13.85546875" style="9" bestFit="1" customWidth="1"/>
    <col min="6152" max="6152" width="22.28515625" style="9" bestFit="1" customWidth="1"/>
    <col min="6153" max="6153" width="18.140625" style="9" bestFit="1" customWidth="1"/>
    <col min="6154" max="6400" width="8.85546875" style="9"/>
    <col min="6401" max="6401" width="16.7109375" style="9" bestFit="1" customWidth="1"/>
    <col min="6402" max="6403" width="27.7109375" style="9" bestFit="1" customWidth="1"/>
    <col min="6404" max="6404" width="13.85546875" style="9" bestFit="1" customWidth="1"/>
    <col min="6405" max="6405" width="9.7109375" style="9" bestFit="1" customWidth="1"/>
    <col min="6406" max="6407" width="13.85546875" style="9" bestFit="1" customWidth="1"/>
    <col min="6408" max="6408" width="22.28515625" style="9" bestFit="1" customWidth="1"/>
    <col min="6409" max="6409" width="18.140625" style="9" bestFit="1" customWidth="1"/>
    <col min="6410" max="6656" width="8.85546875" style="9"/>
    <col min="6657" max="6657" width="16.7109375" style="9" bestFit="1" customWidth="1"/>
    <col min="6658" max="6659" width="27.7109375" style="9" bestFit="1" customWidth="1"/>
    <col min="6660" max="6660" width="13.85546875" style="9" bestFit="1" customWidth="1"/>
    <col min="6661" max="6661" width="9.7109375" style="9" bestFit="1" customWidth="1"/>
    <col min="6662" max="6663" width="13.85546875" style="9" bestFit="1" customWidth="1"/>
    <col min="6664" max="6664" width="22.28515625" style="9" bestFit="1" customWidth="1"/>
    <col min="6665" max="6665" width="18.140625" style="9" bestFit="1" customWidth="1"/>
    <col min="6666" max="6912" width="8.85546875" style="9"/>
    <col min="6913" max="6913" width="16.7109375" style="9" bestFit="1" customWidth="1"/>
    <col min="6914" max="6915" width="27.7109375" style="9" bestFit="1" customWidth="1"/>
    <col min="6916" max="6916" width="13.85546875" style="9" bestFit="1" customWidth="1"/>
    <col min="6917" max="6917" width="9.7109375" style="9" bestFit="1" customWidth="1"/>
    <col min="6918" max="6919" width="13.85546875" style="9" bestFit="1" customWidth="1"/>
    <col min="6920" max="6920" width="22.28515625" style="9" bestFit="1" customWidth="1"/>
    <col min="6921" max="6921" width="18.140625" style="9" bestFit="1" customWidth="1"/>
    <col min="6922" max="7168" width="8.85546875" style="9"/>
    <col min="7169" max="7169" width="16.7109375" style="9" bestFit="1" customWidth="1"/>
    <col min="7170" max="7171" width="27.7109375" style="9" bestFit="1" customWidth="1"/>
    <col min="7172" max="7172" width="13.85546875" style="9" bestFit="1" customWidth="1"/>
    <col min="7173" max="7173" width="9.7109375" style="9" bestFit="1" customWidth="1"/>
    <col min="7174" max="7175" width="13.85546875" style="9" bestFit="1" customWidth="1"/>
    <col min="7176" max="7176" width="22.28515625" style="9" bestFit="1" customWidth="1"/>
    <col min="7177" max="7177" width="18.140625" style="9" bestFit="1" customWidth="1"/>
    <col min="7178" max="7424" width="8.85546875" style="9"/>
    <col min="7425" max="7425" width="16.7109375" style="9" bestFit="1" customWidth="1"/>
    <col min="7426" max="7427" width="27.7109375" style="9" bestFit="1" customWidth="1"/>
    <col min="7428" max="7428" width="13.85546875" style="9" bestFit="1" customWidth="1"/>
    <col min="7429" max="7429" width="9.7109375" style="9" bestFit="1" customWidth="1"/>
    <col min="7430" max="7431" width="13.85546875" style="9" bestFit="1" customWidth="1"/>
    <col min="7432" max="7432" width="22.28515625" style="9" bestFit="1" customWidth="1"/>
    <col min="7433" max="7433" width="18.140625" style="9" bestFit="1" customWidth="1"/>
    <col min="7434" max="7680" width="8.85546875" style="9"/>
    <col min="7681" max="7681" width="16.7109375" style="9" bestFit="1" customWidth="1"/>
    <col min="7682" max="7683" width="27.7109375" style="9" bestFit="1" customWidth="1"/>
    <col min="7684" max="7684" width="13.85546875" style="9" bestFit="1" customWidth="1"/>
    <col min="7685" max="7685" width="9.7109375" style="9" bestFit="1" customWidth="1"/>
    <col min="7686" max="7687" width="13.85546875" style="9" bestFit="1" customWidth="1"/>
    <col min="7688" max="7688" width="22.28515625" style="9" bestFit="1" customWidth="1"/>
    <col min="7689" max="7689" width="18.140625" style="9" bestFit="1" customWidth="1"/>
    <col min="7690" max="7936" width="8.85546875" style="9"/>
    <col min="7937" max="7937" width="16.7109375" style="9" bestFit="1" customWidth="1"/>
    <col min="7938" max="7939" width="27.7109375" style="9" bestFit="1" customWidth="1"/>
    <col min="7940" max="7940" width="13.85546875" style="9" bestFit="1" customWidth="1"/>
    <col min="7941" max="7941" width="9.7109375" style="9" bestFit="1" customWidth="1"/>
    <col min="7942" max="7943" width="13.85546875" style="9" bestFit="1" customWidth="1"/>
    <col min="7944" max="7944" width="22.28515625" style="9" bestFit="1" customWidth="1"/>
    <col min="7945" max="7945" width="18.140625" style="9" bestFit="1" customWidth="1"/>
    <col min="7946" max="8192" width="8.85546875" style="9"/>
    <col min="8193" max="8193" width="16.7109375" style="9" bestFit="1" customWidth="1"/>
    <col min="8194" max="8195" width="27.7109375" style="9" bestFit="1" customWidth="1"/>
    <col min="8196" max="8196" width="13.85546875" style="9" bestFit="1" customWidth="1"/>
    <col min="8197" max="8197" width="9.7109375" style="9" bestFit="1" customWidth="1"/>
    <col min="8198" max="8199" width="13.85546875" style="9" bestFit="1" customWidth="1"/>
    <col min="8200" max="8200" width="22.28515625" style="9" bestFit="1" customWidth="1"/>
    <col min="8201" max="8201" width="18.140625" style="9" bestFit="1" customWidth="1"/>
    <col min="8202" max="8448" width="8.85546875" style="9"/>
    <col min="8449" max="8449" width="16.7109375" style="9" bestFit="1" customWidth="1"/>
    <col min="8450" max="8451" width="27.7109375" style="9" bestFit="1" customWidth="1"/>
    <col min="8452" max="8452" width="13.85546875" style="9" bestFit="1" customWidth="1"/>
    <col min="8453" max="8453" width="9.7109375" style="9" bestFit="1" customWidth="1"/>
    <col min="8454" max="8455" width="13.85546875" style="9" bestFit="1" customWidth="1"/>
    <col min="8456" max="8456" width="22.28515625" style="9" bestFit="1" customWidth="1"/>
    <col min="8457" max="8457" width="18.140625" style="9" bestFit="1" customWidth="1"/>
    <col min="8458" max="8704" width="8.85546875" style="9"/>
    <col min="8705" max="8705" width="16.7109375" style="9" bestFit="1" customWidth="1"/>
    <col min="8706" max="8707" width="27.7109375" style="9" bestFit="1" customWidth="1"/>
    <col min="8708" max="8708" width="13.85546875" style="9" bestFit="1" customWidth="1"/>
    <col min="8709" max="8709" width="9.7109375" style="9" bestFit="1" customWidth="1"/>
    <col min="8710" max="8711" width="13.85546875" style="9" bestFit="1" customWidth="1"/>
    <col min="8712" max="8712" width="22.28515625" style="9" bestFit="1" customWidth="1"/>
    <col min="8713" max="8713" width="18.140625" style="9" bestFit="1" customWidth="1"/>
    <col min="8714" max="8960" width="8.85546875" style="9"/>
    <col min="8961" max="8961" width="16.7109375" style="9" bestFit="1" customWidth="1"/>
    <col min="8962" max="8963" width="27.7109375" style="9" bestFit="1" customWidth="1"/>
    <col min="8964" max="8964" width="13.85546875" style="9" bestFit="1" customWidth="1"/>
    <col min="8965" max="8965" width="9.7109375" style="9" bestFit="1" customWidth="1"/>
    <col min="8966" max="8967" width="13.85546875" style="9" bestFit="1" customWidth="1"/>
    <col min="8968" max="8968" width="22.28515625" style="9" bestFit="1" customWidth="1"/>
    <col min="8969" max="8969" width="18.140625" style="9" bestFit="1" customWidth="1"/>
    <col min="8970" max="9216" width="8.85546875" style="9"/>
    <col min="9217" max="9217" width="16.7109375" style="9" bestFit="1" customWidth="1"/>
    <col min="9218" max="9219" width="27.7109375" style="9" bestFit="1" customWidth="1"/>
    <col min="9220" max="9220" width="13.85546875" style="9" bestFit="1" customWidth="1"/>
    <col min="9221" max="9221" width="9.7109375" style="9" bestFit="1" customWidth="1"/>
    <col min="9222" max="9223" width="13.85546875" style="9" bestFit="1" customWidth="1"/>
    <col min="9224" max="9224" width="22.28515625" style="9" bestFit="1" customWidth="1"/>
    <col min="9225" max="9225" width="18.140625" style="9" bestFit="1" customWidth="1"/>
    <col min="9226" max="9472" width="8.85546875" style="9"/>
    <col min="9473" max="9473" width="16.7109375" style="9" bestFit="1" customWidth="1"/>
    <col min="9474" max="9475" width="27.7109375" style="9" bestFit="1" customWidth="1"/>
    <col min="9476" max="9476" width="13.85546875" style="9" bestFit="1" customWidth="1"/>
    <col min="9477" max="9477" width="9.7109375" style="9" bestFit="1" customWidth="1"/>
    <col min="9478" max="9479" width="13.85546875" style="9" bestFit="1" customWidth="1"/>
    <col min="9480" max="9480" width="22.28515625" style="9" bestFit="1" customWidth="1"/>
    <col min="9481" max="9481" width="18.140625" style="9" bestFit="1" customWidth="1"/>
    <col min="9482" max="9728" width="8.85546875" style="9"/>
    <col min="9729" max="9729" width="16.7109375" style="9" bestFit="1" customWidth="1"/>
    <col min="9730" max="9731" width="27.7109375" style="9" bestFit="1" customWidth="1"/>
    <col min="9732" max="9732" width="13.85546875" style="9" bestFit="1" customWidth="1"/>
    <col min="9733" max="9733" width="9.7109375" style="9" bestFit="1" customWidth="1"/>
    <col min="9734" max="9735" width="13.85546875" style="9" bestFit="1" customWidth="1"/>
    <col min="9736" max="9736" width="22.28515625" style="9" bestFit="1" customWidth="1"/>
    <col min="9737" max="9737" width="18.140625" style="9" bestFit="1" customWidth="1"/>
    <col min="9738" max="9984" width="8.85546875" style="9"/>
    <col min="9985" max="9985" width="16.7109375" style="9" bestFit="1" customWidth="1"/>
    <col min="9986" max="9987" width="27.7109375" style="9" bestFit="1" customWidth="1"/>
    <col min="9988" max="9988" width="13.85546875" style="9" bestFit="1" customWidth="1"/>
    <col min="9989" max="9989" width="9.7109375" style="9" bestFit="1" customWidth="1"/>
    <col min="9990" max="9991" width="13.85546875" style="9" bestFit="1" customWidth="1"/>
    <col min="9992" max="9992" width="22.28515625" style="9" bestFit="1" customWidth="1"/>
    <col min="9993" max="9993" width="18.140625" style="9" bestFit="1" customWidth="1"/>
    <col min="9994" max="10240" width="8.85546875" style="9"/>
    <col min="10241" max="10241" width="16.7109375" style="9" bestFit="1" customWidth="1"/>
    <col min="10242" max="10243" width="27.7109375" style="9" bestFit="1" customWidth="1"/>
    <col min="10244" max="10244" width="13.85546875" style="9" bestFit="1" customWidth="1"/>
    <col min="10245" max="10245" width="9.7109375" style="9" bestFit="1" customWidth="1"/>
    <col min="10246" max="10247" width="13.85546875" style="9" bestFit="1" customWidth="1"/>
    <col min="10248" max="10248" width="22.28515625" style="9" bestFit="1" customWidth="1"/>
    <col min="10249" max="10249" width="18.140625" style="9" bestFit="1" customWidth="1"/>
    <col min="10250" max="10496" width="8.85546875" style="9"/>
    <col min="10497" max="10497" width="16.7109375" style="9" bestFit="1" customWidth="1"/>
    <col min="10498" max="10499" width="27.7109375" style="9" bestFit="1" customWidth="1"/>
    <col min="10500" max="10500" width="13.85546875" style="9" bestFit="1" customWidth="1"/>
    <col min="10501" max="10501" width="9.7109375" style="9" bestFit="1" customWidth="1"/>
    <col min="10502" max="10503" width="13.85546875" style="9" bestFit="1" customWidth="1"/>
    <col min="10504" max="10504" width="22.28515625" style="9" bestFit="1" customWidth="1"/>
    <col min="10505" max="10505" width="18.140625" style="9" bestFit="1" customWidth="1"/>
    <col min="10506" max="10752" width="8.85546875" style="9"/>
    <col min="10753" max="10753" width="16.7109375" style="9" bestFit="1" customWidth="1"/>
    <col min="10754" max="10755" width="27.7109375" style="9" bestFit="1" customWidth="1"/>
    <col min="10756" max="10756" width="13.85546875" style="9" bestFit="1" customWidth="1"/>
    <col min="10757" max="10757" width="9.7109375" style="9" bestFit="1" customWidth="1"/>
    <col min="10758" max="10759" width="13.85546875" style="9" bestFit="1" customWidth="1"/>
    <col min="10760" max="10760" width="22.28515625" style="9" bestFit="1" customWidth="1"/>
    <col min="10761" max="10761" width="18.140625" style="9" bestFit="1" customWidth="1"/>
    <col min="10762" max="11008" width="8.85546875" style="9"/>
    <col min="11009" max="11009" width="16.7109375" style="9" bestFit="1" customWidth="1"/>
    <col min="11010" max="11011" width="27.7109375" style="9" bestFit="1" customWidth="1"/>
    <col min="11012" max="11012" width="13.85546875" style="9" bestFit="1" customWidth="1"/>
    <col min="11013" max="11013" width="9.7109375" style="9" bestFit="1" customWidth="1"/>
    <col min="11014" max="11015" width="13.85546875" style="9" bestFit="1" customWidth="1"/>
    <col min="11016" max="11016" width="22.28515625" style="9" bestFit="1" customWidth="1"/>
    <col min="11017" max="11017" width="18.140625" style="9" bestFit="1" customWidth="1"/>
    <col min="11018" max="11264" width="8.85546875" style="9"/>
    <col min="11265" max="11265" width="16.7109375" style="9" bestFit="1" customWidth="1"/>
    <col min="11266" max="11267" width="27.7109375" style="9" bestFit="1" customWidth="1"/>
    <col min="11268" max="11268" width="13.85546875" style="9" bestFit="1" customWidth="1"/>
    <col min="11269" max="11269" width="9.7109375" style="9" bestFit="1" customWidth="1"/>
    <col min="11270" max="11271" width="13.85546875" style="9" bestFit="1" customWidth="1"/>
    <col min="11272" max="11272" width="22.28515625" style="9" bestFit="1" customWidth="1"/>
    <col min="11273" max="11273" width="18.140625" style="9" bestFit="1" customWidth="1"/>
    <col min="11274" max="11520" width="8.85546875" style="9"/>
    <col min="11521" max="11521" width="16.7109375" style="9" bestFit="1" customWidth="1"/>
    <col min="11522" max="11523" width="27.7109375" style="9" bestFit="1" customWidth="1"/>
    <col min="11524" max="11524" width="13.85546875" style="9" bestFit="1" customWidth="1"/>
    <col min="11525" max="11525" width="9.7109375" style="9" bestFit="1" customWidth="1"/>
    <col min="11526" max="11527" width="13.85546875" style="9" bestFit="1" customWidth="1"/>
    <col min="11528" max="11528" width="22.28515625" style="9" bestFit="1" customWidth="1"/>
    <col min="11529" max="11529" width="18.140625" style="9" bestFit="1" customWidth="1"/>
    <col min="11530" max="11776" width="8.85546875" style="9"/>
    <col min="11777" max="11777" width="16.7109375" style="9" bestFit="1" customWidth="1"/>
    <col min="11778" max="11779" width="27.7109375" style="9" bestFit="1" customWidth="1"/>
    <col min="11780" max="11780" width="13.85546875" style="9" bestFit="1" customWidth="1"/>
    <col min="11781" max="11781" width="9.7109375" style="9" bestFit="1" customWidth="1"/>
    <col min="11782" max="11783" width="13.85546875" style="9" bestFit="1" customWidth="1"/>
    <col min="11784" max="11784" width="22.28515625" style="9" bestFit="1" customWidth="1"/>
    <col min="11785" max="11785" width="18.140625" style="9" bestFit="1" customWidth="1"/>
    <col min="11786" max="12032" width="8.85546875" style="9"/>
    <col min="12033" max="12033" width="16.7109375" style="9" bestFit="1" customWidth="1"/>
    <col min="12034" max="12035" width="27.7109375" style="9" bestFit="1" customWidth="1"/>
    <col min="12036" max="12036" width="13.85546875" style="9" bestFit="1" customWidth="1"/>
    <col min="12037" max="12037" width="9.7109375" style="9" bestFit="1" customWidth="1"/>
    <col min="12038" max="12039" width="13.85546875" style="9" bestFit="1" customWidth="1"/>
    <col min="12040" max="12040" width="22.28515625" style="9" bestFit="1" customWidth="1"/>
    <col min="12041" max="12041" width="18.140625" style="9" bestFit="1" customWidth="1"/>
    <col min="12042" max="12288" width="8.85546875" style="9"/>
    <col min="12289" max="12289" width="16.7109375" style="9" bestFit="1" customWidth="1"/>
    <col min="12290" max="12291" width="27.7109375" style="9" bestFit="1" customWidth="1"/>
    <col min="12292" max="12292" width="13.85546875" style="9" bestFit="1" customWidth="1"/>
    <col min="12293" max="12293" width="9.7109375" style="9" bestFit="1" customWidth="1"/>
    <col min="12294" max="12295" width="13.85546875" style="9" bestFit="1" customWidth="1"/>
    <col min="12296" max="12296" width="22.28515625" style="9" bestFit="1" customWidth="1"/>
    <col min="12297" max="12297" width="18.140625" style="9" bestFit="1" customWidth="1"/>
    <col min="12298" max="12544" width="8.85546875" style="9"/>
    <col min="12545" max="12545" width="16.7109375" style="9" bestFit="1" customWidth="1"/>
    <col min="12546" max="12547" width="27.7109375" style="9" bestFit="1" customWidth="1"/>
    <col min="12548" max="12548" width="13.85546875" style="9" bestFit="1" customWidth="1"/>
    <col min="12549" max="12549" width="9.7109375" style="9" bestFit="1" customWidth="1"/>
    <col min="12550" max="12551" width="13.85546875" style="9" bestFit="1" customWidth="1"/>
    <col min="12552" max="12552" width="22.28515625" style="9" bestFit="1" customWidth="1"/>
    <col min="12553" max="12553" width="18.140625" style="9" bestFit="1" customWidth="1"/>
    <col min="12554" max="12800" width="8.85546875" style="9"/>
    <col min="12801" max="12801" width="16.7109375" style="9" bestFit="1" customWidth="1"/>
    <col min="12802" max="12803" width="27.7109375" style="9" bestFit="1" customWidth="1"/>
    <col min="12804" max="12804" width="13.85546875" style="9" bestFit="1" customWidth="1"/>
    <col min="12805" max="12805" width="9.7109375" style="9" bestFit="1" customWidth="1"/>
    <col min="12806" max="12807" width="13.85546875" style="9" bestFit="1" customWidth="1"/>
    <col min="12808" max="12808" width="22.28515625" style="9" bestFit="1" customWidth="1"/>
    <col min="12809" max="12809" width="18.140625" style="9" bestFit="1" customWidth="1"/>
    <col min="12810" max="13056" width="8.85546875" style="9"/>
    <col min="13057" max="13057" width="16.7109375" style="9" bestFit="1" customWidth="1"/>
    <col min="13058" max="13059" width="27.7109375" style="9" bestFit="1" customWidth="1"/>
    <col min="13060" max="13060" width="13.85546875" style="9" bestFit="1" customWidth="1"/>
    <col min="13061" max="13061" width="9.7109375" style="9" bestFit="1" customWidth="1"/>
    <col min="13062" max="13063" width="13.85546875" style="9" bestFit="1" customWidth="1"/>
    <col min="13064" max="13064" width="22.28515625" style="9" bestFit="1" customWidth="1"/>
    <col min="13065" max="13065" width="18.140625" style="9" bestFit="1" customWidth="1"/>
    <col min="13066" max="13312" width="8.85546875" style="9"/>
    <col min="13313" max="13313" width="16.7109375" style="9" bestFit="1" customWidth="1"/>
    <col min="13314" max="13315" width="27.7109375" style="9" bestFit="1" customWidth="1"/>
    <col min="13316" max="13316" width="13.85546875" style="9" bestFit="1" customWidth="1"/>
    <col min="13317" max="13317" width="9.7109375" style="9" bestFit="1" customWidth="1"/>
    <col min="13318" max="13319" width="13.85546875" style="9" bestFit="1" customWidth="1"/>
    <col min="13320" max="13320" width="22.28515625" style="9" bestFit="1" customWidth="1"/>
    <col min="13321" max="13321" width="18.140625" style="9" bestFit="1" customWidth="1"/>
    <col min="13322" max="13568" width="8.85546875" style="9"/>
    <col min="13569" max="13569" width="16.7109375" style="9" bestFit="1" customWidth="1"/>
    <col min="13570" max="13571" width="27.7109375" style="9" bestFit="1" customWidth="1"/>
    <col min="13572" max="13572" width="13.85546875" style="9" bestFit="1" customWidth="1"/>
    <col min="13573" max="13573" width="9.7109375" style="9" bestFit="1" customWidth="1"/>
    <col min="13574" max="13575" width="13.85546875" style="9" bestFit="1" customWidth="1"/>
    <col min="13576" max="13576" width="22.28515625" style="9" bestFit="1" customWidth="1"/>
    <col min="13577" max="13577" width="18.140625" style="9" bestFit="1" customWidth="1"/>
    <col min="13578" max="13824" width="8.85546875" style="9"/>
    <col min="13825" max="13825" width="16.7109375" style="9" bestFit="1" customWidth="1"/>
    <col min="13826" max="13827" width="27.7109375" style="9" bestFit="1" customWidth="1"/>
    <col min="13828" max="13828" width="13.85546875" style="9" bestFit="1" customWidth="1"/>
    <col min="13829" max="13829" width="9.7109375" style="9" bestFit="1" customWidth="1"/>
    <col min="13830" max="13831" width="13.85546875" style="9" bestFit="1" customWidth="1"/>
    <col min="13832" max="13832" width="22.28515625" style="9" bestFit="1" customWidth="1"/>
    <col min="13833" max="13833" width="18.140625" style="9" bestFit="1" customWidth="1"/>
    <col min="13834" max="14080" width="8.85546875" style="9"/>
    <col min="14081" max="14081" width="16.7109375" style="9" bestFit="1" customWidth="1"/>
    <col min="14082" max="14083" width="27.7109375" style="9" bestFit="1" customWidth="1"/>
    <col min="14084" max="14084" width="13.85546875" style="9" bestFit="1" customWidth="1"/>
    <col min="14085" max="14085" width="9.7109375" style="9" bestFit="1" customWidth="1"/>
    <col min="14086" max="14087" width="13.85546875" style="9" bestFit="1" customWidth="1"/>
    <col min="14088" max="14088" width="22.28515625" style="9" bestFit="1" customWidth="1"/>
    <col min="14089" max="14089" width="18.140625" style="9" bestFit="1" customWidth="1"/>
    <col min="14090" max="14336" width="8.85546875" style="9"/>
    <col min="14337" max="14337" width="16.7109375" style="9" bestFit="1" customWidth="1"/>
    <col min="14338" max="14339" width="27.7109375" style="9" bestFit="1" customWidth="1"/>
    <col min="14340" max="14340" width="13.85546875" style="9" bestFit="1" customWidth="1"/>
    <col min="14341" max="14341" width="9.7109375" style="9" bestFit="1" customWidth="1"/>
    <col min="14342" max="14343" width="13.85546875" style="9" bestFit="1" customWidth="1"/>
    <col min="14344" max="14344" width="22.28515625" style="9" bestFit="1" customWidth="1"/>
    <col min="14345" max="14345" width="18.140625" style="9" bestFit="1" customWidth="1"/>
    <col min="14346" max="14592" width="8.85546875" style="9"/>
    <col min="14593" max="14593" width="16.7109375" style="9" bestFit="1" customWidth="1"/>
    <col min="14594" max="14595" width="27.7109375" style="9" bestFit="1" customWidth="1"/>
    <col min="14596" max="14596" width="13.85546875" style="9" bestFit="1" customWidth="1"/>
    <col min="14597" max="14597" width="9.7109375" style="9" bestFit="1" customWidth="1"/>
    <col min="14598" max="14599" width="13.85546875" style="9" bestFit="1" customWidth="1"/>
    <col min="14600" max="14600" width="22.28515625" style="9" bestFit="1" customWidth="1"/>
    <col min="14601" max="14601" width="18.140625" style="9" bestFit="1" customWidth="1"/>
    <col min="14602" max="14848" width="8.85546875" style="9"/>
    <col min="14849" max="14849" width="16.7109375" style="9" bestFit="1" customWidth="1"/>
    <col min="14850" max="14851" width="27.7109375" style="9" bestFit="1" customWidth="1"/>
    <col min="14852" max="14852" width="13.85546875" style="9" bestFit="1" customWidth="1"/>
    <col min="14853" max="14853" width="9.7109375" style="9" bestFit="1" customWidth="1"/>
    <col min="14854" max="14855" width="13.85546875" style="9" bestFit="1" customWidth="1"/>
    <col min="14856" max="14856" width="22.28515625" style="9" bestFit="1" customWidth="1"/>
    <col min="14857" max="14857" width="18.140625" style="9" bestFit="1" customWidth="1"/>
    <col min="14858" max="15104" width="8.85546875" style="9"/>
    <col min="15105" max="15105" width="16.7109375" style="9" bestFit="1" customWidth="1"/>
    <col min="15106" max="15107" width="27.7109375" style="9" bestFit="1" customWidth="1"/>
    <col min="15108" max="15108" width="13.85546875" style="9" bestFit="1" customWidth="1"/>
    <col min="15109" max="15109" width="9.7109375" style="9" bestFit="1" customWidth="1"/>
    <col min="15110" max="15111" width="13.85546875" style="9" bestFit="1" customWidth="1"/>
    <col min="15112" max="15112" width="22.28515625" style="9" bestFit="1" customWidth="1"/>
    <col min="15113" max="15113" width="18.140625" style="9" bestFit="1" customWidth="1"/>
    <col min="15114" max="15360" width="8.85546875" style="9"/>
    <col min="15361" max="15361" width="16.7109375" style="9" bestFit="1" customWidth="1"/>
    <col min="15362" max="15363" width="27.7109375" style="9" bestFit="1" customWidth="1"/>
    <col min="15364" max="15364" width="13.85546875" style="9" bestFit="1" customWidth="1"/>
    <col min="15365" max="15365" width="9.7109375" style="9" bestFit="1" customWidth="1"/>
    <col min="15366" max="15367" width="13.85546875" style="9" bestFit="1" customWidth="1"/>
    <col min="15368" max="15368" width="22.28515625" style="9" bestFit="1" customWidth="1"/>
    <col min="15369" max="15369" width="18.140625" style="9" bestFit="1" customWidth="1"/>
    <col min="15370" max="15616" width="8.85546875" style="9"/>
    <col min="15617" max="15617" width="16.7109375" style="9" bestFit="1" customWidth="1"/>
    <col min="15618" max="15619" width="27.7109375" style="9" bestFit="1" customWidth="1"/>
    <col min="15620" max="15620" width="13.85546875" style="9" bestFit="1" customWidth="1"/>
    <col min="15621" max="15621" width="9.7109375" style="9" bestFit="1" customWidth="1"/>
    <col min="15622" max="15623" width="13.85546875" style="9" bestFit="1" customWidth="1"/>
    <col min="15624" max="15624" width="22.28515625" style="9" bestFit="1" customWidth="1"/>
    <col min="15625" max="15625" width="18.140625" style="9" bestFit="1" customWidth="1"/>
    <col min="15626" max="15872" width="8.85546875" style="9"/>
    <col min="15873" max="15873" width="16.7109375" style="9" bestFit="1" customWidth="1"/>
    <col min="15874" max="15875" width="27.7109375" style="9" bestFit="1" customWidth="1"/>
    <col min="15876" max="15876" width="13.85546875" style="9" bestFit="1" customWidth="1"/>
    <col min="15877" max="15877" width="9.7109375" style="9" bestFit="1" customWidth="1"/>
    <col min="15878" max="15879" width="13.85546875" style="9" bestFit="1" customWidth="1"/>
    <col min="15880" max="15880" width="22.28515625" style="9" bestFit="1" customWidth="1"/>
    <col min="15881" max="15881" width="18.140625" style="9" bestFit="1" customWidth="1"/>
    <col min="15882" max="16128" width="8.85546875" style="9"/>
    <col min="16129" max="16129" width="16.7109375" style="9" bestFit="1" customWidth="1"/>
    <col min="16130" max="16131" width="27.7109375" style="9" bestFit="1" customWidth="1"/>
    <col min="16132" max="16132" width="13.85546875" style="9" bestFit="1" customWidth="1"/>
    <col min="16133" max="16133" width="9.7109375" style="9" bestFit="1" customWidth="1"/>
    <col min="16134" max="16135" width="13.85546875" style="9" bestFit="1" customWidth="1"/>
    <col min="16136" max="16136" width="22.28515625" style="9" bestFit="1" customWidth="1"/>
    <col min="16137" max="16137" width="18.140625" style="9" bestFit="1" customWidth="1"/>
    <col min="16138" max="16384" width="8.85546875" style="9"/>
  </cols>
  <sheetData>
    <row r="1" spans="1:9" ht="16.149999999999999" customHeight="1">
      <c r="A1" s="238" t="s">
        <v>106</v>
      </c>
      <c r="B1" s="238"/>
      <c r="C1" s="238"/>
      <c r="D1" s="238"/>
      <c r="E1" s="238"/>
      <c r="F1" s="238"/>
      <c r="G1" s="238"/>
      <c r="H1" s="238"/>
      <c r="I1" s="238"/>
    </row>
    <row r="2" spans="1:9" ht="13.9" customHeight="1">
      <c r="A2" s="10"/>
    </row>
    <row r="3" spans="1:9" ht="13.9" customHeight="1">
      <c r="A3" s="11" t="s">
        <v>107</v>
      </c>
      <c r="B3" s="239" t="s">
        <v>108</v>
      </c>
      <c r="C3" s="240"/>
      <c r="D3" s="239" t="s">
        <v>109</v>
      </c>
      <c r="E3" s="240"/>
      <c r="F3" s="239" t="s">
        <v>110</v>
      </c>
      <c r="G3" s="241"/>
      <c r="H3" s="241"/>
      <c r="I3" s="240"/>
    </row>
    <row r="4" spans="1:9" ht="13.9" customHeight="1">
      <c r="A4" s="11" t="s">
        <v>111</v>
      </c>
      <c r="B4" s="11" t="s">
        <v>112</v>
      </c>
      <c r="C4" s="11" t="s">
        <v>113</v>
      </c>
      <c r="D4" s="11" t="s">
        <v>114</v>
      </c>
      <c r="E4" s="11" t="s">
        <v>115</v>
      </c>
      <c r="F4" s="11" t="s">
        <v>116</v>
      </c>
      <c r="G4" s="11" t="s">
        <v>117</v>
      </c>
      <c r="H4" s="11" t="s">
        <v>118</v>
      </c>
      <c r="I4" s="11" t="s">
        <v>119</v>
      </c>
    </row>
    <row r="5" spans="1:9" ht="16.149999999999999" customHeight="1">
      <c r="A5" s="12" t="s">
        <v>120</v>
      </c>
      <c r="B5" s="13">
        <v>167588</v>
      </c>
      <c r="C5" s="13">
        <v>190524</v>
      </c>
      <c r="D5" s="13">
        <v>22936</v>
      </c>
      <c r="E5" s="13">
        <v>13.7</v>
      </c>
      <c r="F5" s="13">
        <v>21170</v>
      </c>
      <c r="G5" s="13">
        <v>19875</v>
      </c>
      <c r="H5" s="13">
        <v>1295</v>
      </c>
      <c r="I5" s="13">
        <v>21641</v>
      </c>
    </row>
    <row r="6" spans="1:9" ht="16.149999999999999" customHeight="1">
      <c r="A6" s="12" t="s">
        <v>121</v>
      </c>
      <c r="B6" s="13">
        <v>38891</v>
      </c>
      <c r="C6" s="13">
        <v>39822</v>
      </c>
      <c r="D6" s="13">
        <v>931</v>
      </c>
      <c r="E6" s="13">
        <v>2.4</v>
      </c>
      <c r="F6" s="13">
        <v>4109</v>
      </c>
      <c r="G6" s="13">
        <v>5064</v>
      </c>
      <c r="H6" s="13">
        <v>-955</v>
      </c>
      <c r="I6" s="13">
        <v>1886</v>
      </c>
    </row>
    <row r="7" spans="1:9" ht="16.149999999999999" customHeight="1">
      <c r="A7" s="12" t="s">
        <v>122</v>
      </c>
      <c r="B7" s="13">
        <v>11326</v>
      </c>
      <c r="C7" s="13">
        <v>11634</v>
      </c>
      <c r="D7" s="13">
        <v>308</v>
      </c>
      <c r="E7" s="13">
        <v>2.7</v>
      </c>
      <c r="F7" s="13">
        <v>1237</v>
      </c>
      <c r="G7" s="13">
        <v>1630</v>
      </c>
      <c r="H7" s="13">
        <v>-393</v>
      </c>
      <c r="I7" s="13">
        <v>701</v>
      </c>
    </row>
    <row r="8" spans="1:9" ht="16.149999999999999" customHeight="1">
      <c r="A8" s="12" t="s">
        <v>123</v>
      </c>
      <c r="B8" s="13">
        <v>25628</v>
      </c>
      <c r="C8" s="13">
        <v>25627</v>
      </c>
      <c r="D8" s="13">
        <v>-1</v>
      </c>
      <c r="E8" s="13">
        <v>0</v>
      </c>
      <c r="F8" s="13">
        <v>2461</v>
      </c>
      <c r="G8" s="13">
        <v>3333</v>
      </c>
      <c r="H8" s="13">
        <v>-872</v>
      </c>
      <c r="I8" s="13">
        <v>871</v>
      </c>
    </row>
    <row r="9" spans="1:9" ht="16.149999999999999" customHeight="1">
      <c r="A9" s="12" t="s">
        <v>124</v>
      </c>
      <c r="B9" s="13">
        <v>27186</v>
      </c>
      <c r="C9" s="13">
        <v>26853</v>
      </c>
      <c r="D9" s="13">
        <v>-333</v>
      </c>
      <c r="E9" s="13">
        <v>-1.2</v>
      </c>
      <c r="F9" s="13">
        <v>2473</v>
      </c>
      <c r="G9" s="13">
        <v>4060</v>
      </c>
      <c r="H9" s="13">
        <v>-1587</v>
      </c>
      <c r="I9" s="13">
        <v>1254</v>
      </c>
    </row>
    <row r="10" spans="1:9" ht="16.149999999999999" customHeight="1">
      <c r="A10" s="12" t="s">
        <v>125</v>
      </c>
      <c r="B10" s="13">
        <v>18083</v>
      </c>
      <c r="C10" s="13">
        <v>18083</v>
      </c>
      <c r="D10" s="13">
        <v>0</v>
      </c>
      <c r="E10" s="13">
        <v>0</v>
      </c>
      <c r="F10" s="13">
        <v>1527</v>
      </c>
      <c r="G10" s="13">
        <v>2383</v>
      </c>
      <c r="H10" s="13">
        <v>-856</v>
      </c>
      <c r="I10" s="13">
        <v>856</v>
      </c>
    </row>
    <row r="11" spans="1:9" ht="16.149999999999999" customHeight="1">
      <c r="A11" s="12" t="s">
        <v>126</v>
      </c>
      <c r="B11" s="13">
        <v>47270</v>
      </c>
      <c r="C11" s="13">
        <v>46380</v>
      </c>
      <c r="D11" s="13">
        <v>-890</v>
      </c>
      <c r="E11" s="13">
        <v>-1.9</v>
      </c>
      <c r="F11" s="13">
        <v>4801</v>
      </c>
      <c r="G11" s="13">
        <v>7019</v>
      </c>
      <c r="H11" s="13">
        <v>-2218</v>
      </c>
      <c r="I11" s="13">
        <v>1328</v>
      </c>
    </row>
    <row r="12" spans="1:9" ht="16.149999999999999" customHeight="1">
      <c r="A12" s="12" t="s">
        <v>127</v>
      </c>
      <c r="B12" s="13">
        <v>19831</v>
      </c>
      <c r="C12" s="13">
        <v>19832</v>
      </c>
      <c r="D12" s="13">
        <v>1</v>
      </c>
      <c r="E12" s="13">
        <v>0</v>
      </c>
      <c r="F12" s="13">
        <v>1993</v>
      </c>
      <c r="G12" s="13">
        <v>2677</v>
      </c>
      <c r="H12" s="13">
        <v>-684</v>
      </c>
      <c r="I12" s="13">
        <v>685</v>
      </c>
    </row>
    <row r="13" spans="1:9" ht="16.149999999999999" customHeight="1">
      <c r="A13" s="12" t="s">
        <v>128</v>
      </c>
      <c r="B13" s="13">
        <v>33574</v>
      </c>
      <c r="C13" s="13">
        <v>30842</v>
      </c>
      <c r="D13" s="13">
        <v>-2732</v>
      </c>
      <c r="E13" s="13">
        <v>-8.1</v>
      </c>
      <c r="F13" s="13">
        <v>3722</v>
      </c>
      <c r="G13" s="13">
        <v>4367</v>
      </c>
      <c r="H13" s="13">
        <v>-645</v>
      </c>
      <c r="I13" s="13">
        <v>-2087</v>
      </c>
    </row>
    <row r="14" spans="1:9" ht="16.149999999999999" customHeight="1">
      <c r="A14" s="12" t="s">
        <v>129</v>
      </c>
      <c r="B14" s="13">
        <v>141520</v>
      </c>
      <c r="C14" s="13">
        <v>171805</v>
      </c>
      <c r="D14" s="13">
        <v>30285</v>
      </c>
      <c r="E14" s="13">
        <v>21.4</v>
      </c>
      <c r="F14" s="13">
        <v>12370</v>
      </c>
      <c r="G14" s="13">
        <v>22505</v>
      </c>
      <c r="H14" s="13">
        <v>-10135</v>
      </c>
      <c r="I14" s="13">
        <v>40420</v>
      </c>
    </row>
    <row r="15" spans="1:9" ht="16.149999999999999" customHeight="1">
      <c r="A15" s="12" t="s">
        <v>130</v>
      </c>
      <c r="B15" s="13">
        <v>270935</v>
      </c>
      <c r="C15" s="13">
        <v>302284</v>
      </c>
      <c r="D15" s="13">
        <v>31349</v>
      </c>
      <c r="E15" s="13">
        <v>11.6</v>
      </c>
      <c r="F15" s="13">
        <v>27660</v>
      </c>
      <c r="G15" s="13">
        <v>31863</v>
      </c>
      <c r="H15" s="13">
        <v>-4203</v>
      </c>
      <c r="I15" s="13">
        <v>35552</v>
      </c>
    </row>
    <row r="16" spans="1:9" ht="16.149999999999999" customHeight="1">
      <c r="A16" s="12" t="s">
        <v>131</v>
      </c>
      <c r="B16" s="13">
        <v>91767</v>
      </c>
      <c r="C16" s="13">
        <v>96288</v>
      </c>
      <c r="D16" s="13">
        <v>4521</v>
      </c>
      <c r="E16" s="13">
        <v>4.9000000000000004</v>
      </c>
      <c r="F16" s="13">
        <v>9912</v>
      </c>
      <c r="G16" s="13">
        <v>12278</v>
      </c>
      <c r="H16" s="13">
        <v>-2366</v>
      </c>
      <c r="I16" s="13">
        <v>6887</v>
      </c>
    </row>
    <row r="17" spans="1:9" ht="16.149999999999999" customHeight="1">
      <c r="A17" s="12" t="s">
        <v>132</v>
      </c>
      <c r="B17" s="13">
        <v>217409</v>
      </c>
      <c r="C17" s="13">
        <v>258327</v>
      </c>
      <c r="D17" s="13">
        <v>40918</v>
      </c>
      <c r="E17" s="13">
        <v>18.8</v>
      </c>
      <c r="F17" s="13">
        <v>31504</v>
      </c>
      <c r="G17" s="13">
        <v>21044</v>
      </c>
      <c r="H17" s="13">
        <v>10460</v>
      </c>
      <c r="I17" s="13">
        <v>30458</v>
      </c>
    </row>
    <row r="18" spans="1:9" ht="16.149999999999999" customHeight="1">
      <c r="A18" s="12" t="s">
        <v>133</v>
      </c>
      <c r="B18" s="13">
        <v>85264</v>
      </c>
      <c r="C18" s="13">
        <v>89689</v>
      </c>
      <c r="D18" s="13">
        <v>4425</v>
      </c>
      <c r="E18" s="13">
        <v>5.2</v>
      </c>
      <c r="F18" s="13">
        <v>9399</v>
      </c>
      <c r="G18" s="13">
        <v>11378</v>
      </c>
      <c r="H18" s="13">
        <v>-1979</v>
      </c>
      <c r="I18" s="13">
        <v>6404</v>
      </c>
    </row>
    <row r="19" spans="1:9" ht="16.149999999999999" customHeight="1">
      <c r="A19" s="12" t="s">
        <v>134</v>
      </c>
      <c r="B19" s="13">
        <v>10505</v>
      </c>
      <c r="C19" s="13">
        <v>10672</v>
      </c>
      <c r="D19" s="13">
        <v>167</v>
      </c>
      <c r="E19" s="13">
        <v>1.6</v>
      </c>
      <c r="F19" s="13">
        <v>1149</v>
      </c>
      <c r="G19" s="13">
        <v>1105</v>
      </c>
      <c r="H19" s="13">
        <v>44</v>
      </c>
      <c r="I19" s="13">
        <v>123</v>
      </c>
    </row>
    <row r="20" spans="1:9" ht="16.149999999999999" customHeight="1">
      <c r="A20" s="12" t="s">
        <v>135</v>
      </c>
      <c r="B20" s="13">
        <v>71652</v>
      </c>
      <c r="C20" s="13">
        <v>77380</v>
      </c>
      <c r="D20" s="13">
        <v>5728</v>
      </c>
      <c r="E20" s="13">
        <v>8</v>
      </c>
      <c r="F20" s="13">
        <v>6535</v>
      </c>
      <c r="G20" s="13">
        <v>10160</v>
      </c>
      <c r="H20" s="13">
        <v>-3625</v>
      </c>
      <c r="I20" s="13">
        <v>9353</v>
      </c>
    </row>
    <row r="21" spans="1:9" ht="16.149999999999999" customHeight="1">
      <c r="A21" s="12" t="s">
        <v>136</v>
      </c>
      <c r="B21" s="13">
        <v>23694</v>
      </c>
      <c r="C21" s="13">
        <v>23695</v>
      </c>
      <c r="D21" s="13">
        <v>1</v>
      </c>
      <c r="E21" s="13">
        <v>0</v>
      </c>
      <c r="F21" s="13">
        <v>2287</v>
      </c>
      <c r="G21" s="13">
        <v>3315</v>
      </c>
      <c r="H21" s="13">
        <v>-1028</v>
      </c>
      <c r="I21" s="13">
        <v>1029</v>
      </c>
    </row>
    <row r="22" spans="1:9" ht="16.149999999999999" customHeight="1">
      <c r="A22" s="12" t="s">
        <v>137</v>
      </c>
      <c r="B22" s="13">
        <v>158374</v>
      </c>
      <c r="C22" s="13">
        <v>163123</v>
      </c>
      <c r="D22" s="13">
        <v>4749</v>
      </c>
      <c r="E22" s="13">
        <v>3</v>
      </c>
      <c r="F22" s="13">
        <v>19079</v>
      </c>
      <c r="G22" s="13">
        <v>19429</v>
      </c>
      <c r="H22" s="13">
        <v>-350</v>
      </c>
      <c r="I22" s="13">
        <v>5099</v>
      </c>
    </row>
    <row r="23" spans="1:9" ht="16.149999999999999" customHeight="1">
      <c r="A23" s="12" t="s">
        <v>138</v>
      </c>
      <c r="B23" s="13">
        <v>79480</v>
      </c>
      <c r="C23" s="13">
        <v>94966</v>
      </c>
      <c r="D23" s="13">
        <v>15486</v>
      </c>
      <c r="E23" s="13">
        <v>19.5</v>
      </c>
      <c r="F23" s="13">
        <v>7905</v>
      </c>
      <c r="G23" s="13">
        <v>10777</v>
      </c>
      <c r="H23" s="13">
        <v>-2872</v>
      </c>
      <c r="I23" s="13">
        <v>18358</v>
      </c>
    </row>
    <row r="24" spans="1:9" ht="16.149999999999999" customHeight="1">
      <c r="A24" s="12" t="s">
        <v>139</v>
      </c>
      <c r="B24" s="13">
        <v>30967</v>
      </c>
      <c r="C24" s="13">
        <v>34330</v>
      </c>
      <c r="D24" s="13">
        <v>3363</v>
      </c>
      <c r="E24" s="13">
        <v>10.9</v>
      </c>
      <c r="F24" s="13">
        <v>2800</v>
      </c>
      <c r="G24" s="13">
        <v>5072</v>
      </c>
      <c r="H24" s="13">
        <v>-2272</v>
      </c>
      <c r="I24" s="13">
        <v>5635</v>
      </c>
    </row>
    <row r="25" spans="1:9" ht="16.149999999999999" customHeight="1">
      <c r="A25" s="12" t="s">
        <v>140</v>
      </c>
      <c r="B25" s="13">
        <v>13944</v>
      </c>
      <c r="C25" s="13">
        <v>12778</v>
      </c>
      <c r="D25" s="13">
        <v>-1166</v>
      </c>
      <c r="E25" s="13">
        <v>-8.4</v>
      </c>
      <c r="F25" s="13">
        <v>1451</v>
      </c>
      <c r="G25" s="13">
        <v>1982</v>
      </c>
      <c r="H25" s="13">
        <v>-531</v>
      </c>
      <c r="I25" s="13">
        <v>-635</v>
      </c>
    </row>
    <row r="26" spans="1:9" ht="16.149999999999999" customHeight="1">
      <c r="A26" s="12" t="s">
        <v>141</v>
      </c>
      <c r="B26" s="13">
        <v>11987</v>
      </c>
      <c r="C26" s="13">
        <v>13650</v>
      </c>
      <c r="D26" s="13">
        <v>1663</v>
      </c>
      <c r="E26" s="13">
        <v>13.9</v>
      </c>
      <c r="F26" s="13">
        <v>1092</v>
      </c>
      <c r="G26" s="13">
        <v>1904</v>
      </c>
      <c r="H26" s="13">
        <v>-812</v>
      </c>
      <c r="I26" s="13">
        <v>2475</v>
      </c>
    </row>
    <row r="27" spans="1:9" ht="16.149999999999999" customHeight="1">
      <c r="A27" s="12" t="s">
        <v>142</v>
      </c>
      <c r="B27" s="13">
        <v>99285</v>
      </c>
      <c r="C27" s="13">
        <v>100067</v>
      </c>
      <c r="D27" s="13">
        <v>782</v>
      </c>
      <c r="E27" s="13">
        <v>0.8</v>
      </c>
      <c r="F27" s="13">
        <v>11599</v>
      </c>
      <c r="G27" s="13">
        <v>13581</v>
      </c>
      <c r="H27" s="13">
        <v>-1982</v>
      </c>
      <c r="I27" s="13">
        <v>2764</v>
      </c>
    </row>
    <row r="28" spans="1:9" ht="16.149999999999999" customHeight="1">
      <c r="A28" s="12" t="s">
        <v>143</v>
      </c>
      <c r="B28" s="13">
        <v>56903</v>
      </c>
      <c r="C28" s="13">
        <v>56904</v>
      </c>
      <c r="D28" s="13">
        <v>1</v>
      </c>
      <c r="E28" s="13">
        <v>0</v>
      </c>
      <c r="F28" s="13">
        <v>6559</v>
      </c>
      <c r="G28" s="13">
        <v>7784</v>
      </c>
      <c r="H28" s="13">
        <v>-1225</v>
      </c>
      <c r="I28" s="13">
        <v>1226</v>
      </c>
    </row>
    <row r="29" spans="1:9" ht="16.149999999999999" customHeight="1">
      <c r="A29" s="12" t="s">
        <v>144</v>
      </c>
      <c r="B29" s="13">
        <v>103899</v>
      </c>
      <c r="C29" s="13">
        <v>104085</v>
      </c>
      <c r="D29" s="13">
        <v>186</v>
      </c>
      <c r="E29" s="13">
        <v>0.2</v>
      </c>
      <c r="F29" s="13">
        <v>14150</v>
      </c>
      <c r="G29" s="13">
        <v>11147</v>
      </c>
      <c r="H29" s="13">
        <v>3003</v>
      </c>
      <c r="I29" s="13">
        <v>-2817</v>
      </c>
    </row>
    <row r="30" spans="1:9" ht="16.149999999999999" customHeight="1">
      <c r="A30" s="12" t="s">
        <v>145</v>
      </c>
      <c r="B30" s="13">
        <v>329709</v>
      </c>
      <c r="C30" s="13">
        <v>329760</v>
      </c>
      <c r="D30" s="13">
        <v>51</v>
      </c>
      <c r="E30" s="13">
        <v>0</v>
      </c>
      <c r="F30" s="13">
        <v>46830</v>
      </c>
      <c r="G30" s="13">
        <v>29607</v>
      </c>
      <c r="H30" s="13">
        <v>17223</v>
      </c>
      <c r="I30" s="13">
        <v>-17172</v>
      </c>
    </row>
    <row r="31" spans="1:9" ht="16.149999999999999" customHeight="1">
      <c r="A31" s="12" t="s">
        <v>146</v>
      </c>
      <c r="B31" s="13">
        <v>28118</v>
      </c>
      <c r="C31" s="13">
        <v>33158</v>
      </c>
      <c r="D31" s="13">
        <v>5040</v>
      </c>
      <c r="E31" s="13">
        <v>17.899999999999999</v>
      </c>
      <c r="F31" s="13">
        <v>3253</v>
      </c>
      <c r="G31" s="13">
        <v>3231</v>
      </c>
      <c r="H31" s="13">
        <v>22</v>
      </c>
      <c r="I31" s="13">
        <v>5018</v>
      </c>
    </row>
    <row r="32" spans="1:9" ht="16.149999999999999" customHeight="1">
      <c r="A32" s="12" t="s">
        <v>147</v>
      </c>
      <c r="B32" s="13">
        <v>37851</v>
      </c>
      <c r="C32" s="13">
        <v>40069</v>
      </c>
      <c r="D32" s="13">
        <v>2218</v>
      </c>
      <c r="E32" s="13">
        <v>5.9</v>
      </c>
      <c r="F32" s="13">
        <v>3890</v>
      </c>
      <c r="G32" s="13">
        <v>4475</v>
      </c>
      <c r="H32" s="13">
        <v>-585</v>
      </c>
      <c r="I32" s="13">
        <v>2803</v>
      </c>
    </row>
    <row r="33" spans="1:9" ht="16.149999999999999" customHeight="1">
      <c r="A33" s="12" t="s">
        <v>148</v>
      </c>
      <c r="B33" s="13">
        <v>170091</v>
      </c>
      <c r="C33" s="13">
        <v>180032</v>
      </c>
      <c r="D33" s="13">
        <v>9941</v>
      </c>
      <c r="E33" s="13">
        <v>5.8</v>
      </c>
      <c r="F33" s="13">
        <v>20277</v>
      </c>
      <c r="G33" s="13">
        <v>21344</v>
      </c>
      <c r="H33" s="13">
        <v>-1067</v>
      </c>
      <c r="I33" s="13">
        <v>11008</v>
      </c>
    </row>
    <row r="34" spans="1:9" ht="16.149999999999999" customHeight="1">
      <c r="A34" s="12" t="s">
        <v>149</v>
      </c>
      <c r="B34" s="13">
        <v>44281</v>
      </c>
      <c r="C34" s="13">
        <v>49459</v>
      </c>
      <c r="D34" s="13">
        <v>5178</v>
      </c>
      <c r="E34" s="13">
        <v>11.7</v>
      </c>
      <c r="F34" s="13">
        <v>4964</v>
      </c>
      <c r="G34" s="13">
        <v>5812</v>
      </c>
      <c r="H34" s="13">
        <v>-848</v>
      </c>
      <c r="I34" s="13">
        <v>6026</v>
      </c>
    </row>
    <row r="35" spans="1:9" ht="16.149999999999999" customHeight="1">
      <c r="A35" s="12" t="s">
        <v>150</v>
      </c>
      <c r="B35" s="13">
        <v>59323</v>
      </c>
      <c r="C35" s="13">
        <v>58865</v>
      </c>
      <c r="D35" s="13">
        <v>-458</v>
      </c>
      <c r="E35" s="13">
        <v>-0.8</v>
      </c>
      <c r="F35" s="13">
        <v>7884</v>
      </c>
      <c r="G35" s="13">
        <v>6216</v>
      </c>
      <c r="H35" s="13">
        <v>1668</v>
      </c>
      <c r="I35" s="13">
        <v>-2126</v>
      </c>
    </row>
    <row r="36" spans="1:9" ht="16.149999999999999" customHeight="1">
      <c r="A36" s="12" t="s">
        <v>151</v>
      </c>
      <c r="B36" s="13">
        <v>320173</v>
      </c>
      <c r="C36" s="13">
        <v>366803</v>
      </c>
      <c r="D36" s="13">
        <v>46630</v>
      </c>
      <c r="E36" s="13">
        <v>14.6</v>
      </c>
      <c r="F36" s="13">
        <v>46810</v>
      </c>
      <c r="G36" s="13">
        <v>25687</v>
      </c>
      <c r="H36" s="13">
        <v>21123</v>
      </c>
      <c r="I36" s="13">
        <v>25507</v>
      </c>
    </row>
    <row r="37" spans="1:9" ht="16.149999999999999" customHeight="1">
      <c r="A37" s="12" t="s">
        <v>152</v>
      </c>
      <c r="B37" s="13">
        <v>50730</v>
      </c>
      <c r="C37" s="13">
        <v>43645</v>
      </c>
      <c r="D37" s="13">
        <v>-7085</v>
      </c>
      <c r="E37" s="13">
        <v>-14</v>
      </c>
      <c r="F37" s="13">
        <v>4680</v>
      </c>
      <c r="G37" s="13">
        <v>6809</v>
      </c>
      <c r="H37" s="13">
        <v>-2129</v>
      </c>
      <c r="I37" s="13">
        <v>-4956</v>
      </c>
    </row>
    <row r="38" spans="1:9" ht="16.149999999999999" customHeight="1">
      <c r="A38" s="12" t="s">
        <v>153</v>
      </c>
      <c r="B38" s="13">
        <v>383913</v>
      </c>
      <c r="C38" s="13">
        <v>423244</v>
      </c>
      <c r="D38" s="13">
        <v>39331</v>
      </c>
      <c r="E38" s="13">
        <v>10.199999999999999</v>
      </c>
      <c r="F38" s="13">
        <v>50808</v>
      </c>
      <c r="G38" s="13">
        <v>39849</v>
      </c>
      <c r="H38" s="13">
        <v>10959</v>
      </c>
      <c r="I38" s="13">
        <v>28372</v>
      </c>
    </row>
    <row r="39" spans="1:9" ht="16.149999999999999" customHeight="1">
      <c r="A39" s="12" t="s">
        <v>154</v>
      </c>
      <c r="B39" s="13">
        <v>69729</v>
      </c>
      <c r="C39" s="13">
        <v>80427</v>
      </c>
      <c r="D39" s="13">
        <v>10698</v>
      </c>
      <c r="E39" s="13">
        <v>15.3</v>
      </c>
      <c r="F39" s="13">
        <v>8408</v>
      </c>
      <c r="G39" s="13">
        <v>8092</v>
      </c>
      <c r="H39" s="13">
        <v>316</v>
      </c>
      <c r="I39" s="13">
        <v>10382</v>
      </c>
    </row>
    <row r="40" spans="1:9" ht="16.149999999999999" customHeight="1">
      <c r="A40" s="12" t="s">
        <v>155</v>
      </c>
      <c r="B40" s="13">
        <v>224197</v>
      </c>
      <c r="C40" s="13">
        <v>240357</v>
      </c>
      <c r="D40" s="13">
        <v>16160</v>
      </c>
      <c r="E40" s="13">
        <v>7.2</v>
      </c>
      <c r="F40" s="13">
        <v>27476</v>
      </c>
      <c r="G40" s="13">
        <v>26746</v>
      </c>
      <c r="H40" s="13">
        <v>730</v>
      </c>
      <c r="I40" s="13">
        <v>15430</v>
      </c>
    </row>
    <row r="41" spans="1:9" ht="16.149999999999999" customHeight="1">
      <c r="A41" s="12" t="s">
        <v>156</v>
      </c>
      <c r="B41" s="13">
        <v>12057</v>
      </c>
      <c r="C41" s="13">
        <v>12096</v>
      </c>
      <c r="D41" s="13">
        <v>39</v>
      </c>
      <c r="E41" s="13">
        <v>0.3</v>
      </c>
      <c r="F41" s="13">
        <v>1196</v>
      </c>
      <c r="G41" s="13">
        <v>1408</v>
      </c>
      <c r="H41" s="13">
        <v>-212</v>
      </c>
      <c r="I41" s="13">
        <v>251</v>
      </c>
    </row>
    <row r="42" spans="1:9" ht="16.149999999999999" customHeight="1">
      <c r="A42" s="12" t="s">
        <v>157</v>
      </c>
      <c r="B42" s="13">
        <v>8896</v>
      </c>
      <c r="C42" s="13">
        <v>8948</v>
      </c>
      <c r="D42" s="13">
        <v>52</v>
      </c>
      <c r="E42" s="13">
        <v>0.6</v>
      </c>
      <c r="F42" s="13">
        <v>968</v>
      </c>
      <c r="G42" s="13">
        <v>1257</v>
      </c>
      <c r="H42" s="13">
        <v>-289</v>
      </c>
      <c r="I42" s="13">
        <v>341</v>
      </c>
    </row>
    <row r="43" spans="1:9" ht="16.149999999999999" customHeight="1">
      <c r="A43" s="12" t="s">
        <v>158</v>
      </c>
      <c r="B43" s="13">
        <v>61739</v>
      </c>
      <c r="C43" s="13">
        <v>67621</v>
      </c>
      <c r="D43" s="13">
        <v>5882</v>
      </c>
      <c r="E43" s="13">
        <v>9.5</v>
      </c>
      <c r="F43" s="13">
        <v>6441</v>
      </c>
      <c r="G43" s="13">
        <v>7022</v>
      </c>
      <c r="H43" s="13">
        <v>-581</v>
      </c>
      <c r="I43" s="13">
        <v>6463</v>
      </c>
    </row>
    <row r="44" spans="1:9" ht="16.149999999999999" customHeight="1">
      <c r="A44" s="12" t="s">
        <v>159</v>
      </c>
      <c r="B44" s="13">
        <v>21519</v>
      </c>
      <c r="C44" s="13">
        <v>21521</v>
      </c>
      <c r="D44" s="13">
        <v>2</v>
      </c>
      <c r="E44" s="13">
        <v>0</v>
      </c>
      <c r="F44" s="13">
        <v>2328</v>
      </c>
      <c r="G44" s="13">
        <v>2398</v>
      </c>
      <c r="H44" s="13">
        <v>-70</v>
      </c>
      <c r="I44" s="13">
        <v>72</v>
      </c>
    </row>
    <row r="45" spans="1:9" ht="16.149999999999999" customHeight="1">
      <c r="A45" s="12" t="s">
        <v>160</v>
      </c>
      <c r="B45" s="13">
        <v>535159</v>
      </c>
      <c r="C45" s="13">
        <v>572478</v>
      </c>
      <c r="D45" s="13">
        <v>37319</v>
      </c>
      <c r="E45" s="13">
        <v>7</v>
      </c>
      <c r="F45" s="13">
        <v>65328</v>
      </c>
      <c r="G45" s="13">
        <v>51975</v>
      </c>
      <c r="H45" s="13">
        <v>13353</v>
      </c>
      <c r="I45" s="13">
        <v>23966</v>
      </c>
    </row>
    <row r="46" spans="1:9" ht="16.149999999999999" customHeight="1">
      <c r="A46" s="12" t="s">
        <v>161</v>
      </c>
      <c r="B46" s="13">
        <v>50779</v>
      </c>
      <c r="C46" s="13">
        <v>47333</v>
      </c>
      <c r="D46" s="13">
        <v>-3446</v>
      </c>
      <c r="E46" s="13">
        <v>-6.8</v>
      </c>
      <c r="F46" s="13">
        <v>5601</v>
      </c>
      <c r="G46" s="13">
        <v>7040</v>
      </c>
      <c r="H46" s="13">
        <v>-1439</v>
      </c>
      <c r="I46" s="13">
        <v>-2007</v>
      </c>
    </row>
    <row r="47" spans="1:9" ht="16.149999999999999" customHeight="1">
      <c r="A47" s="12" t="s">
        <v>162</v>
      </c>
      <c r="B47" s="13">
        <v>137501</v>
      </c>
      <c r="C47" s="13">
        <v>159684</v>
      </c>
      <c r="D47" s="13">
        <v>22183</v>
      </c>
      <c r="E47" s="13">
        <v>16.100000000000001</v>
      </c>
      <c r="F47" s="13">
        <v>20332</v>
      </c>
      <c r="G47" s="13">
        <v>12724</v>
      </c>
      <c r="H47" s="13">
        <v>7608</v>
      </c>
      <c r="I47" s="13">
        <v>14575</v>
      </c>
    </row>
    <row r="48" spans="1:9" ht="16.149999999999999" customHeight="1">
      <c r="A48" s="12" t="s">
        <v>163</v>
      </c>
      <c r="B48" s="13">
        <v>63791</v>
      </c>
      <c r="C48" s="13">
        <v>68835</v>
      </c>
      <c r="D48" s="13">
        <v>5044</v>
      </c>
      <c r="E48" s="13">
        <v>7.9</v>
      </c>
      <c r="F48" s="13">
        <v>6580</v>
      </c>
      <c r="G48" s="13">
        <v>9415</v>
      </c>
      <c r="H48" s="13">
        <v>-2835</v>
      </c>
      <c r="I48" s="13">
        <v>7879</v>
      </c>
    </row>
    <row r="49" spans="1:9" ht="16.149999999999999" customHeight="1">
      <c r="A49" s="12" t="s">
        <v>164</v>
      </c>
      <c r="B49" s="13">
        <v>121192</v>
      </c>
      <c r="C49" s="13">
        <v>134696</v>
      </c>
      <c r="D49" s="13">
        <v>13504</v>
      </c>
      <c r="E49" s="13">
        <v>11.1</v>
      </c>
      <c r="F49" s="13">
        <v>12867</v>
      </c>
      <c r="G49" s="13">
        <v>18187</v>
      </c>
      <c r="H49" s="13">
        <v>-5320</v>
      </c>
      <c r="I49" s="13">
        <v>18824</v>
      </c>
    </row>
    <row r="50" spans="1:9" ht="16.149999999999999" customHeight="1">
      <c r="A50" s="12" t="s">
        <v>165</v>
      </c>
      <c r="B50" s="13">
        <v>23671</v>
      </c>
      <c r="C50" s="13">
        <v>22759</v>
      </c>
      <c r="D50" s="13">
        <v>-912</v>
      </c>
      <c r="E50" s="13">
        <v>-3.9</v>
      </c>
      <c r="F50" s="13">
        <v>2278</v>
      </c>
      <c r="G50" s="13">
        <v>3231</v>
      </c>
      <c r="H50" s="13">
        <v>-953</v>
      </c>
      <c r="I50" s="13">
        <v>41</v>
      </c>
    </row>
    <row r="51" spans="1:9" ht="16.149999999999999" customHeight="1">
      <c r="A51" s="12" t="s">
        <v>166</v>
      </c>
      <c r="B51" s="13">
        <v>57978</v>
      </c>
      <c r="C51" s="13">
        <v>70179</v>
      </c>
      <c r="D51" s="13">
        <v>12201</v>
      </c>
      <c r="E51" s="13">
        <v>21</v>
      </c>
      <c r="F51" s="13">
        <v>10129</v>
      </c>
      <c r="G51" s="13">
        <v>4517</v>
      </c>
      <c r="H51" s="13">
        <v>5612</v>
      </c>
      <c r="I51" s="13">
        <v>6589</v>
      </c>
    </row>
    <row r="52" spans="1:9" ht="16.149999999999999" customHeight="1">
      <c r="A52" s="12" t="s">
        <v>167</v>
      </c>
      <c r="B52" s="13">
        <v>5601</v>
      </c>
      <c r="C52" s="13">
        <v>5457</v>
      </c>
      <c r="D52" s="13">
        <v>-144</v>
      </c>
      <c r="E52" s="13">
        <v>-2.6</v>
      </c>
      <c r="F52" s="13">
        <v>502</v>
      </c>
      <c r="G52" s="13">
        <v>704</v>
      </c>
      <c r="H52" s="13">
        <v>-202</v>
      </c>
      <c r="I52" s="13">
        <v>58</v>
      </c>
    </row>
    <row r="53" spans="1:9" ht="16.149999999999999" customHeight="1">
      <c r="A53" s="12" t="s">
        <v>168</v>
      </c>
      <c r="B53" s="13">
        <v>186093</v>
      </c>
      <c r="C53" s="13">
        <v>217854</v>
      </c>
      <c r="D53" s="13">
        <v>31761</v>
      </c>
      <c r="E53" s="13">
        <v>17.100000000000001</v>
      </c>
      <c r="F53" s="13">
        <v>23493</v>
      </c>
      <c r="G53" s="13">
        <v>21120</v>
      </c>
      <c r="H53" s="13">
        <v>2373</v>
      </c>
      <c r="I53" s="13">
        <v>29388</v>
      </c>
    </row>
    <row r="54" spans="1:9" ht="16.149999999999999" customHeight="1">
      <c r="A54" s="12" t="s">
        <v>169</v>
      </c>
      <c r="B54" s="13">
        <v>44750</v>
      </c>
      <c r="C54" s="13">
        <v>50191</v>
      </c>
      <c r="D54" s="13">
        <v>5441</v>
      </c>
      <c r="E54" s="13">
        <v>12.2</v>
      </c>
      <c r="F54" s="13">
        <v>4444</v>
      </c>
      <c r="G54" s="13">
        <v>4946</v>
      </c>
      <c r="H54" s="13">
        <v>-502</v>
      </c>
      <c r="I54" s="13">
        <v>5943</v>
      </c>
    </row>
    <row r="55" spans="1:9" ht="16.149999999999999" customHeight="1">
      <c r="A55" s="12" t="s">
        <v>170</v>
      </c>
      <c r="B55" s="13">
        <v>210948</v>
      </c>
      <c r="C55" s="13">
        <v>265216</v>
      </c>
      <c r="D55" s="13">
        <v>54268</v>
      </c>
      <c r="E55" s="13">
        <v>25.7</v>
      </c>
      <c r="F55" s="13">
        <v>32307</v>
      </c>
      <c r="G55" s="13">
        <v>20698</v>
      </c>
      <c r="H55" s="13">
        <v>11609</v>
      </c>
      <c r="I55" s="13">
        <v>42659</v>
      </c>
    </row>
    <row r="56" spans="1:9" ht="16.149999999999999" customHeight="1">
      <c r="A56" s="12" t="s">
        <v>171</v>
      </c>
      <c r="B56" s="13">
        <v>10355</v>
      </c>
      <c r="C56" s="13">
        <v>10356</v>
      </c>
      <c r="D56" s="13">
        <v>1</v>
      </c>
      <c r="E56" s="13">
        <v>0</v>
      </c>
      <c r="F56" s="13">
        <v>1027</v>
      </c>
      <c r="G56" s="13">
        <v>1434</v>
      </c>
      <c r="H56" s="13">
        <v>-407</v>
      </c>
      <c r="I56" s="13">
        <v>408</v>
      </c>
    </row>
    <row r="57" spans="1:9" ht="16.149999999999999" customHeight="1">
      <c r="A57" s="12" t="s">
        <v>172</v>
      </c>
      <c r="B57" s="13">
        <v>59761</v>
      </c>
      <c r="C57" s="13">
        <v>60726</v>
      </c>
      <c r="D57" s="13">
        <v>965</v>
      </c>
      <c r="E57" s="13">
        <v>1.6</v>
      </c>
      <c r="F57" s="13">
        <v>8244</v>
      </c>
      <c r="G57" s="13">
        <v>6332</v>
      </c>
      <c r="H57" s="13">
        <v>1912</v>
      </c>
      <c r="I57" s="13">
        <v>-947</v>
      </c>
    </row>
    <row r="58" spans="1:9" ht="16.149999999999999" customHeight="1">
      <c r="A58" s="12" t="s">
        <v>173</v>
      </c>
      <c r="B58" s="13">
        <v>57146</v>
      </c>
      <c r="C58" s="13">
        <v>56044</v>
      </c>
      <c r="D58" s="13">
        <v>-1102</v>
      </c>
      <c r="E58" s="13">
        <v>-1.9</v>
      </c>
      <c r="F58" s="13">
        <v>6993</v>
      </c>
      <c r="G58" s="13">
        <v>7700</v>
      </c>
      <c r="H58" s="13">
        <v>-707</v>
      </c>
      <c r="I58" s="13">
        <v>-395</v>
      </c>
    </row>
    <row r="59" spans="1:9" ht="16.149999999999999" customHeight="1">
      <c r="A59" s="12" t="s">
        <v>174</v>
      </c>
      <c r="B59" s="13">
        <v>87248</v>
      </c>
      <c r="C59" s="13">
        <v>99374</v>
      </c>
      <c r="D59" s="13">
        <v>12126</v>
      </c>
      <c r="E59" s="13">
        <v>13.9</v>
      </c>
      <c r="F59" s="13">
        <v>9560</v>
      </c>
      <c r="G59" s="13">
        <v>10801</v>
      </c>
      <c r="H59" s="13">
        <v>-1241</v>
      </c>
      <c r="I59" s="13">
        <v>13367</v>
      </c>
    </row>
    <row r="60" spans="1:9" ht="16.149999999999999" customHeight="1">
      <c r="A60" s="12" t="s">
        <v>175</v>
      </c>
      <c r="B60" s="13">
        <v>36515</v>
      </c>
      <c r="C60" s="13">
        <v>40193</v>
      </c>
      <c r="D60" s="13">
        <v>3678</v>
      </c>
      <c r="E60" s="13">
        <v>10.1</v>
      </c>
      <c r="F60" s="13">
        <v>4211</v>
      </c>
      <c r="G60" s="13">
        <v>5692</v>
      </c>
      <c r="H60" s="13">
        <v>-1481</v>
      </c>
      <c r="I60" s="13">
        <v>5159</v>
      </c>
    </row>
    <row r="61" spans="1:9" ht="16.149999999999999" customHeight="1">
      <c r="A61" s="12" t="s">
        <v>176</v>
      </c>
      <c r="B61" s="13">
        <v>23034</v>
      </c>
      <c r="C61" s="13">
        <v>25679</v>
      </c>
      <c r="D61" s="13">
        <v>2645</v>
      </c>
      <c r="E61" s="13">
        <v>11.5</v>
      </c>
      <c r="F61" s="13">
        <v>2306</v>
      </c>
      <c r="G61" s="13">
        <v>3085</v>
      </c>
      <c r="H61" s="13">
        <v>-779</v>
      </c>
      <c r="I61" s="13">
        <v>3424</v>
      </c>
    </row>
    <row r="62" spans="1:9" ht="16.149999999999999" customHeight="1">
      <c r="A62" s="12" t="s">
        <v>177</v>
      </c>
      <c r="B62" s="13">
        <v>23215</v>
      </c>
      <c r="C62" s="13">
        <v>22238</v>
      </c>
      <c r="D62" s="13">
        <v>-977</v>
      </c>
      <c r="E62" s="13">
        <v>-4.2</v>
      </c>
      <c r="F62" s="13">
        <v>2797</v>
      </c>
      <c r="G62" s="13">
        <v>3558</v>
      </c>
      <c r="H62" s="13">
        <v>-761</v>
      </c>
      <c r="I62" s="13">
        <v>-216</v>
      </c>
    </row>
    <row r="63" spans="1:9" ht="16.149999999999999" customHeight="1">
      <c r="A63" s="12" t="s">
        <v>178</v>
      </c>
      <c r="B63" s="13">
        <v>46221</v>
      </c>
      <c r="C63" s="13">
        <v>46791</v>
      </c>
      <c r="D63" s="13">
        <v>570</v>
      </c>
      <c r="E63" s="13">
        <v>1.2</v>
      </c>
      <c r="F63" s="13">
        <v>5003</v>
      </c>
      <c r="G63" s="13">
        <v>6162</v>
      </c>
      <c r="H63" s="13">
        <v>-1159</v>
      </c>
      <c r="I63" s="13">
        <v>1729</v>
      </c>
    </row>
    <row r="64" spans="1:9" ht="16.149999999999999" customHeight="1">
      <c r="A64" s="12" t="s">
        <v>179</v>
      </c>
      <c r="B64" s="13">
        <v>1143547</v>
      </c>
      <c r="C64" s="13">
        <v>1364367</v>
      </c>
      <c r="D64" s="13">
        <v>220820</v>
      </c>
      <c r="E64" s="13">
        <v>19.3</v>
      </c>
      <c r="F64" s="13">
        <v>160709</v>
      </c>
      <c r="G64" s="13">
        <v>85568</v>
      </c>
      <c r="H64" s="13">
        <v>75141</v>
      </c>
      <c r="I64" s="13">
        <v>145679</v>
      </c>
    </row>
    <row r="65" spans="1:9" ht="16.149999999999999" customHeight="1">
      <c r="A65" s="12" t="s">
        <v>180</v>
      </c>
      <c r="B65" s="13">
        <v>15191</v>
      </c>
      <c r="C65" s="13">
        <v>15163</v>
      </c>
      <c r="D65" s="13">
        <v>-28</v>
      </c>
      <c r="E65" s="13">
        <v>-0.2</v>
      </c>
      <c r="F65" s="13">
        <v>1564</v>
      </c>
      <c r="G65" s="13">
        <v>2294</v>
      </c>
      <c r="H65" s="13">
        <v>-730</v>
      </c>
      <c r="I65" s="13">
        <v>702</v>
      </c>
    </row>
    <row r="66" spans="1:9" ht="16.149999999999999" customHeight="1">
      <c r="A66" s="12" t="s">
        <v>181</v>
      </c>
      <c r="B66" s="13">
        <v>28144</v>
      </c>
      <c r="C66" s="13">
        <v>29079</v>
      </c>
      <c r="D66" s="13">
        <v>935</v>
      </c>
      <c r="E66" s="13">
        <v>3.3</v>
      </c>
      <c r="F66" s="13">
        <v>3569</v>
      </c>
      <c r="G66" s="13">
        <v>3436</v>
      </c>
      <c r="H66" s="13">
        <v>133</v>
      </c>
      <c r="I66" s="13">
        <v>802</v>
      </c>
    </row>
    <row r="67" spans="1:9" ht="16.149999999999999" customHeight="1">
      <c r="A67" s="12" t="s">
        <v>182</v>
      </c>
      <c r="B67" s="13">
        <v>102051</v>
      </c>
      <c r="C67" s="13">
        <v>115154</v>
      </c>
      <c r="D67" s="13">
        <v>13103</v>
      </c>
      <c r="E67" s="13">
        <v>12.8</v>
      </c>
      <c r="F67" s="13">
        <v>12605</v>
      </c>
      <c r="G67" s="13">
        <v>14083</v>
      </c>
      <c r="H67" s="13">
        <v>-1478</v>
      </c>
      <c r="I67" s="13">
        <v>14581</v>
      </c>
    </row>
    <row r="68" spans="1:9" ht="16.149999999999999" customHeight="1">
      <c r="A68" s="12" t="s">
        <v>183</v>
      </c>
      <c r="B68" s="13">
        <v>94419</v>
      </c>
      <c r="C68" s="13">
        <v>94417</v>
      </c>
      <c r="D68" s="13">
        <v>-2</v>
      </c>
      <c r="E68" s="13">
        <v>0</v>
      </c>
      <c r="F68" s="13">
        <v>11260</v>
      </c>
      <c r="G68" s="13">
        <v>11928</v>
      </c>
      <c r="H68" s="13">
        <v>-668</v>
      </c>
      <c r="I68" s="13">
        <v>666</v>
      </c>
    </row>
    <row r="69" spans="1:9" ht="16.149999999999999" customHeight="1">
      <c r="A69" s="12" t="s">
        <v>184</v>
      </c>
      <c r="B69" s="13">
        <v>238232</v>
      </c>
      <c r="C69" s="13">
        <v>274796</v>
      </c>
      <c r="D69" s="13">
        <v>36564</v>
      </c>
      <c r="E69" s="13">
        <v>15.3</v>
      </c>
      <c r="F69" s="13">
        <v>26310</v>
      </c>
      <c r="G69" s="13">
        <v>24761</v>
      </c>
      <c r="H69" s="13">
        <v>1549</v>
      </c>
      <c r="I69" s="13">
        <v>35015</v>
      </c>
    </row>
    <row r="70" spans="1:9" ht="16.149999999999999" customHeight="1">
      <c r="A70" s="12" t="s">
        <v>185</v>
      </c>
      <c r="B70" s="13">
        <v>20149</v>
      </c>
      <c r="C70" s="13">
        <v>18499</v>
      </c>
      <c r="D70" s="13">
        <v>-1650</v>
      </c>
      <c r="E70" s="13">
        <v>-8.1999999999999993</v>
      </c>
      <c r="F70" s="13">
        <v>2045</v>
      </c>
      <c r="G70" s="13">
        <v>2848</v>
      </c>
      <c r="H70" s="13">
        <v>-803</v>
      </c>
      <c r="I70" s="13">
        <v>-847</v>
      </c>
    </row>
    <row r="71" spans="1:9" ht="16.149999999999999" customHeight="1">
      <c r="A71" s="12" t="s">
        <v>186</v>
      </c>
      <c r="B71" s="13">
        <v>201816</v>
      </c>
      <c r="C71" s="13">
        <v>223623</v>
      </c>
      <c r="D71" s="13">
        <v>21807</v>
      </c>
      <c r="E71" s="13">
        <v>10.8</v>
      </c>
      <c r="F71" s="13">
        <v>33159</v>
      </c>
      <c r="G71" s="13">
        <v>12969</v>
      </c>
      <c r="H71" s="13">
        <v>20190</v>
      </c>
      <c r="I71" s="13">
        <v>1617</v>
      </c>
    </row>
    <row r="72" spans="1:9" ht="16.149999999999999" customHeight="1">
      <c r="A72" s="12" t="s">
        <v>187</v>
      </c>
      <c r="B72" s="13">
        <v>146889</v>
      </c>
      <c r="C72" s="13">
        <v>161858</v>
      </c>
      <c r="D72" s="13">
        <v>14969</v>
      </c>
      <c r="E72" s="13">
        <v>10.199999999999999</v>
      </c>
      <c r="F72" s="13">
        <v>13401</v>
      </c>
      <c r="G72" s="13">
        <v>11045</v>
      </c>
      <c r="H72" s="13">
        <v>2356</v>
      </c>
      <c r="I72" s="13">
        <v>12613</v>
      </c>
    </row>
    <row r="73" spans="1:9" ht="16.149999999999999" customHeight="1">
      <c r="A73" s="12" t="s">
        <v>188</v>
      </c>
      <c r="B73" s="13">
        <v>13330</v>
      </c>
      <c r="C73" s="13">
        <v>13535</v>
      </c>
      <c r="D73" s="13">
        <v>205</v>
      </c>
      <c r="E73" s="13">
        <v>1.5</v>
      </c>
      <c r="F73" s="13">
        <v>1097</v>
      </c>
      <c r="G73" s="13">
        <v>2077</v>
      </c>
      <c r="H73" s="13">
        <v>-980</v>
      </c>
      <c r="I73" s="13">
        <v>1185</v>
      </c>
    </row>
    <row r="74" spans="1:9" ht="16.149999999999999" customHeight="1">
      <c r="A74" s="12" t="s">
        <v>189</v>
      </c>
      <c r="B74" s="13">
        <v>41034</v>
      </c>
      <c r="C74" s="13">
        <v>41209</v>
      </c>
      <c r="D74" s="13">
        <v>175</v>
      </c>
      <c r="E74" s="13">
        <v>0.4</v>
      </c>
      <c r="F74" s="13">
        <v>4980</v>
      </c>
      <c r="G74" s="13">
        <v>4458</v>
      </c>
      <c r="H74" s="13">
        <v>522</v>
      </c>
      <c r="I74" s="13">
        <v>-347</v>
      </c>
    </row>
    <row r="75" spans="1:9" ht="16.149999999999999" customHeight="1">
      <c r="A75" s="12" t="s">
        <v>190</v>
      </c>
      <c r="B75" s="13">
        <v>64933</v>
      </c>
      <c r="C75" s="13">
        <v>76840</v>
      </c>
      <c r="D75" s="13">
        <v>11907</v>
      </c>
      <c r="E75" s="13">
        <v>18.3</v>
      </c>
      <c r="F75" s="13">
        <v>7721</v>
      </c>
      <c r="G75" s="13">
        <v>7420</v>
      </c>
      <c r="H75" s="13">
        <v>301</v>
      </c>
      <c r="I75" s="13">
        <v>11606</v>
      </c>
    </row>
    <row r="76" spans="1:9" ht="16.149999999999999" customHeight="1">
      <c r="A76" s="12" t="s">
        <v>191</v>
      </c>
      <c r="B76" s="13">
        <v>13677</v>
      </c>
      <c r="C76" s="13">
        <v>14764</v>
      </c>
      <c r="D76" s="13">
        <v>1087</v>
      </c>
      <c r="E76" s="13">
        <v>7.9</v>
      </c>
      <c r="F76" s="13">
        <v>1418</v>
      </c>
      <c r="G76" s="13">
        <v>2144</v>
      </c>
      <c r="H76" s="13">
        <v>-726</v>
      </c>
      <c r="I76" s="13">
        <v>1813</v>
      </c>
    </row>
    <row r="77" spans="1:9" ht="16.149999999999999" customHeight="1">
      <c r="A77" s="12" t="s">
        <v>192</v>
      </c>
      <c r="B77" s="13">
        <v>40248</v>
      </c>
      <c r="C77" s="13">
        <v>41223</v>
      </c>
      <c r="D77" s="13">
        <v>975</v>
      </c>
      <c r="E77" s="13">
        <v>2.4</v>
      </c>
      <c r="F77" s="13">
        <v>4693</v>
      </c>
      <c r="G77" s="13">
        <v>5100</v>
      </c>
      <c r="H77" s="13">
        <v>-407</v>
      </c>
      <c r="I77" s="13">
        <v>1382</v>
      </c>
    </row>
    <row r="78" spans="1:9" ht="16.149999999999999" customHeight="1">
      <c r="A78" s="12" t="s">
        <v>193</v>
      </c>
      <c r="B78" s="13">
        <v>177909</v>
      </c>
      <c r="C78" s="13">
        <v>182854</v>
      </c>
      <c r="D78" s="13">
        <v>4945</v>
      </c>
      <c r="E78" s="13">
        <v>2.8</v>
      </c>
      <c r="F78" s="13">
        <v>20086</v>
      </c>
      <c r="G78" s="13">
        <v>15141</v>
      </c>
      <c r="H78" s="13">
        <v>4945</v>
      </c>
      <c r="I78" s="13">
        <v>0</v>
      </c>
    </row>
    <row r="79" spans="1:9" ht="16.149999999999999" customHeight="1">
      <c r="A79" s="12" t="s">
        <v>194</v>
      </c>
      <c r="B79" s="13">
        <v>21504</v>
      </c>
      <c r="C79" s="13">
        <v>22452</v>
      </c>
      <c r="D79" s="13">
        <v>948</v>
      </c>
      <c r="E79" s="13">
        <v>4.4000000000000004</v>
      </c>
      <c r="F79" s="13">
        <v>1845</v>
      </c>
      <c r="G79" s="13">
        <v>3255</v>
      </c>
      <c r="H79" s="13">
        <v>-1410</v>
      </c>
      <c r="I79" s="13">
        <v>2358</v>
      </c>
    </row>
    <row r="80" spans="1:9" ht="16.149999999999999" customHeight="1">
      <c r="A80" s="12" t="s">
        <v>195</v>
      </c>
      <c r="B80" s="13">
        <v>147555</v>
      </c>
      <c r="C80" s="13">
        <v>157165</v>
      </c>
      <c r="D80" s="13">
        <v>9610</v>
      </c>
      <c r="E80" s="13">
        <v>6.5</v>
      </c>
      <c r="F80" s="13">
        <v>18546</v>
      </c>
      <c r="G80" s="13">
        <v>17540</v>
      </c>
      <c r="H80" s="13">
        <v>1006</v>
      </c>
      <c r="I80" s="13">
        <v>8604</v>
      </c>
    </row>
    <row r="81" spans="1:9" ht="16.149999999999999" customHeight="1">
      <c r="A81" s="12" t="s">
        <v>196</v>
      </c>
      <c r="B81" s="13">
        <v>44651</v>
      </c>
      <c r="C81" s="13">
        <v>43839</v>
      </c>
      <c r="D81" s="13">
        <v>-812</v>
      </c>
      <c r="E81" s="13">
        <v>-1.8</v>
      </c>
      <c r="F81" s="13">
        <v>5361</v>
      </c>
      <c r="G81" s="13">
        <v>5715</v>
      </c>
      <c r="H81" s="13">
        <v>-354</v>
      </c>
      <c r="I81" s="13">
        <v>-458</v>
      </c>
    </row>
    <row r="82" spans="1:9" ht="16.149999999999999" customHeight="1">
      <c r="A82" s="12" t="s">
        <v>197</v>
      </c>
      <c r="B82" s="13">
        <v>130109</v>
      </c>
      <c r="C82" s="13">
        <v>123740</v>
      </c>
      <c r="D82" s="13">
        <v>-6369</v>
      </c>
      <c r="E82" s="13">
        <v>-4.9000000000000004</v>
      </c>
      <c r="F82" s="13">
        <v>16914</v>
      </c>
      <c r="G82" s="13">
        <v>14658</v>
      </c>
      <c r="H82" s="13">
        <v>2256</v>
      </c>
      <c r="I82" s="13">
        <v>-8625</v>
      </c>
    </row>
    <row r="83" spans="1:9" ht="16.149999999999999" customHeight="1">
      <c r="A83" s="12" t="s">
        <v>198</v>
      </c>
      <c r="B83" s="13">
        <v>91668</v>
      </c>
      <c r="C83" s="13">
        <v>91631</v>
      </c>
      <c r="D83" s="13">
        <v>-37</v>
      </c>
      <c r="E83" s="13">
        <v>0</v>
      </c>
      <c r="F83" s="13">
        <v>10219</v>
      </c>
      <c r="G83" s="13">
        <v>12451</v>
      </c>
      <c r="H83" s="13">
        <v>-2232</v>
      </c>
      <c r="I83" s="13">
        <v>2195</v>
      </c>
    </row>
    <row r="84" spans="1:9" ht="16.149999999999999" customHeight="1">
      <c r="A84" s="12" t="s">
        <v>199</v>
      </c>
      <c r="B84" s="13">
        <v>144755</v>
      </c>
      <c r="C84" s="13">
        <v>154215</v>
      </c>
      <c r="D84" s="13">
        <v>9460</v>
      </c>
      <c r="E84" s="13">
        <v>6.5</v>
      </c>
      <c r="F84" s="13">
        <v>16948</v>
      </c>
      <c r="G84" s="13">
        <v>18293</v>
      </c>
      <c r="H84" s="13">
        <v>-1345</v>
      </c>
      <c r="I84" s="13">
        <v>10805</v>
      </c>
    </row>
    <row r="85" spans="1:9" ht="16.149999999999999" customHeight="1">
      <c r="A85" s="12" t="s">
        <v>200</v>
      </c>
      <c r="B85" s="13">
        <v>68016</v>
      </c>
      <c r="C85" s="13">
        <v>68312</v>
      </c>
      <c r="D85" s="13">
        <v>296</v>
      </c>
      <c r="E85" s="13">
        <v>0.4</v>
      </c>
      <c r="F85" s="13">
        <v>7624</v>
      </c>
      <c r="G85" s="13">
        <v>9486</v>
      </c>
      <c r="H85" s="13">
        <v>-1862</v>
      </c>
      <c r="I85" s="13">
        <v>2158</v>
      </c>
    </row>
    <row r="86" spans="1:9" ht="16.149999999999999" customHeight="1">
      <c r="A86" s="12" t="s">
        <v>201</v>
      </c>
      <c r="B86" s="13">
        <v>62269</v>
      </c>
      <c r="C86" s="13">
        <v>60713</v>
      </c>
      <c r="D86" s="13">
        <v>-1556</v>
      </c>
      <c r="E86" s="13">
        <v>-2.5</v>
      </c>
      <c r="F86" s="13">
        <v>8454</v>
      </c>
      <c r="G86" s="13">
        <v>7310</v>
      </c>
      <c r="H86" s="13">
        <v>1144</v>
      </c>
      <c r="I86" s="13">
        <v>-2700</v>
      </c>
    </row>
    <row r="87" spans="1:9" ht="16.149999999999999" customHeight="1">
      <c r="A87" s="12" t="s">
        <v>202</v>
      </c>
      <c r="B87" s="13">
        <v>35412</v>
      </c>
      <c r="C87" s="13">
        <v>34493</v>
      </c>
      <c r="D87" s="13">
        <v>-919</v>
      </c>
      <c r="E87" s="13">
        <v>-2.6</v>
      </c>
      <c r="F87" s="13">
        <v>4527</v>
      </c>
      <c r="G87" s="13">
        <v>4355</v>
      </c>
      <c r="H87" s="13">
        <v>172</v>
      </c>
      <c r="I87" s="13">
        <v>-1091</v>
      </c>
    </row>
    <row r="88" spans="1:9" ht="16.149999999999999" customHeight="1">
      <c r="A88" s="12" t="s">
        <v>203</v>
      </c>
      <c r="B88" s="13">
        <v>64259</v>
      </c>
      <c r="C88" s="13">
        <v>70196</v>
      </c>
      <c r="D88" s="13">
        <v>5937</v>
      </c>
      <c r="E88" s="13">
        <v>9.1999999999999993</v>
      </c>
      <c r="F88" s="13">
        <v>7201</v>
      </c>
      <c r="G88" s="13">
        <v>8499</v>
      </c>
      <c r="H88" s="13">
        <v>-1298</v>
      </c>
      <c r="I88" s="13">
        <v>7235</v>
      </c>
    </row>
    <row r="89" spans="1:9" ht="16.149999999999999" customHeight="1">
      <c r="A89" s="12" t="s">
        <v>204</v>
      </c>
      <c r="B89" s="13">
        <v>46674</v>
      </c>
      <c r="C89" s="13">
        <v>46579</v>
      </c>
      <c r="D89" s="13">
        <v>-95</v>
      </c>
      <c r="E89" s="13">
        <v>-0.2</v>
      </c>
      <c r="F89" s="13">
        <v>4721</v>
      </c>
      <c r="G89" s="13">
        <v>6151</v>
      </c>
      <c r="H89" s="13">
        <v>-1430</v>
      </c>
      <c r="I89" s="13">
        <v>1335</v>
      </c>
    </row>
    <row r="90" spans="1:9" ht="16.149999999999999" customHeight="1">
      <c r="A90" s="12" t="s">
        <v>205</v>
      </c>
      <c r="B90" s="13">
        <v>72845</v>
      </c>
      <c r="C90" s="13">
        <v>72842</v>
      </c>
      <c r="D90" s="13">
        <v>-3</v>
      </c>
      <c r="E90" s="13">
        <v>0</v>
      </c>
      <c r="F90" s="13">
        <v>8661</v>
      </c>
      <c r="G90" s="13">
        <v>9446</v>
      </c>
      <c r="H90" s="13">
        <v>-785</v>
      </c>
      <c r="I90" s="13">
        <v>782</v>
      </c>
    </row>
    <row r="91" spans="1:9" ht="16.149999999999999" customHeight="1">
      <c r="A91" s="12" t="s">
        <v>206</v>
      </c>
      <c r="B91" s="13">
        <v>15435</v>
      </c>
      <c r="C91" s="13">
        <v>16892</v>
      </c>
      <c r="D91" s="13">
        <v>1457</v>
      </c>
      <c r="E91" s="13">
        <v>9.4</v>
      </c>
      <c r="F91" s="13">
        <v>2192</v>
      </c>
      <c r="G91" s="13">
        <v>2106</v>
      </c>
      <c r="H91" s="13">
        <v>86</v>
      </c>
      <c r="I91" s="13">
        <v>1371</v>
      </c>
    </row>
    <row r="92" spans="1:9" ht="16.149999999999999" customHeight="1">
      <c r="A92" s="12" t="s">
        <v>207</v>
      </c>
      <c r="B92" s="13">
        <v>35434</v>
      </c>
      <c r="C92" s="13">
        <v>38534</v>
      </c>
      <c r="D92" s="13">
        <v>3100</v>
      </c>
      <c r="E92" s="13">
        <v>8.6999999999999993</v>
      </c>
      <c r="F92" s="13">
        <v>3254</v>
      </c>
      <c r="G92" s="13">
        <v>5567</v>
      </c>
      <c r="H92" s="13">
        <v>-2313</v>
      </c>
      <c r="I92" s="13">
        <v>5413</v>
      </c>
    </row>
    <row r="93" spans="1:9" ht="16.149999999999999" customHeight="1">
      <c r="A93" s="12" t="s">
        <v>208</v>
      </c>
      <c r="B93" s="13">
        <v>4137</v>
      </c>
      <c r="C93" s="13">
        <v>4137</v>
      </c>
      <c r="D93" s="13">
        <v>0</v>
      </c>
      <c r="E93" s="13">
        <v>0</v>
      </c>
      <c r="F93" s="13">
        <v>477</v>
      </c>
      <c r="G93" s="13">
        <v>510</v>
      </c>
      <c r="H93" s="13">
        <v>-33</v>
      </c>
      <c r="I93" s="13">
        <v>33</v>
      </c>
    </row>
    <row r="94" spans="1:9" ht="16.149999999999999" customHeight="1">
      <c r="A94" s="12" t="s">
        <v>209</v>
      </c>
      <c r="B94" s="13">
        <v>240933</v>
      </c>
      <c r="C94" s="13">
        <v>283481</v>
      </c>
      <c r="D94" s="13">
        <v>42548</v>
      </c>
      <c r="E94" s="13">
        <v>17.7</v>
      </c>
      <c r="F94" s="13">
        <v>35686</v>
      </c>
      <c r="G94" s="13">
        <v>20658</v>
      </c>
      <c r="H94" s="13">
        <v>15028</v>
      </c>
      <c r="I94" s="13">
        <v>27520</v>
      </c>
    </row>
    <row r="95" spans="1:9" ht="16.149999999999999" customHeight="1">
      <c r="A95" s="12" t="s">
        <v>210</v>
      </c>
      <c r="B95" s="13">
        <v>44654</v>
      </c>
      <c r="C95" s="13">
        <v>44293</v>
      </c>
      <c r="D95" s="13">
        <v>-361</v>
      </c>
      <c r="E95" s="13">
        <v>-0.8</v>
      </c>
      <c r="F95" s="13">
        <v>5942</v>
      </c>
      <c r="G95" s="13">
        <v>5488</v>
      </c>
      <c r="H95" s="13">
        <v>454</v>
      </c>
      <c r="I95" s="13">
        <v>-815</v>
      </c>
    </row>
    <row r="96" spans="1:9" ht="16.149999999999999" customHeight="1">
      <c r="A96" s="12" t="s">
        <v>211</v>
      </c>
      <c r="B96" s="13">
        <v>1116912</v>
      </c>
      <c r="C96" s="13">
        <v>1348745</v>
      </c>
      <c r="D96" s="13">
        <v>231833</v>
      </c>
      <c r="E96" s="13">
        <v>20.8</v>
      </c>
      <c r="F96" s="13">
        <v>148202</v>
      </c>
      <c r="G96" s="13">
        <v>80101</v>
      </c>
      <c r="H96" s="13">
        <v>68101</v>
      </c>
      <c r="I96" s="13">
        <v>163732</v>
      </c>
    </row>
    <row r="97" spans="1:9" ht="16.149999999999999" customHeight="1">
      <c r="A97" s="12" t="s">
        <v>212</v>
      </c>
      <c r="B97" s="13">
        <v>19952</v>
      </c>
      <c r="C97" s="13">
        <v>19605</v>
      </c>
      <c r="D97" s="13">
        <v>-347</v>
      </c>
      <c r="E97" s="13">
        <v>-1.7</v>
      </c>
      <c r="F97" s="13">
        <v>1941</v>
      </c>
      <c r="G97" s="13">
        <v>2773</v>
      </c>
      <c r="H97" s="13">
        <v>-832</v>
      </c>
      <c r="I97" s="13">
        <v>485</v>
      </c>
    </row>
    <row r="98" spans="1:9" ht="16.149999999999999" customHeight="1">
      <c r="A98" s="12" t="s">
        <v>213</v>
      </c>
      <c r="B98" s="13">
        <v>12121</v>
      </c>
      <c r="C98" s="13">
        <v>11361</v>
      </c>
      <c r="D98" s="13">
        <v>-760</v>
      </c>
      <c r="E98" s="13">
        <v>-6.3</v>
      </c>
      <c r="F98" s="13">
        <v>1394</v>
      </c>
      <c r="G98" s="13">
        <v>1733</v>
      </c>
      <c r="H98" s="13">
        <v>-339</v>
      </c>
      <c r="I98" s="13">
        <v>-421</v>
      </c>
    </row>
    <row r="99" spans="1:9" ht="16.149999999999999" customHeight="1">
      <c r="A99" s="12" t="s">
        <v>214</v>
      </c>
      <c r="B99" s="13">
        <v>59703</v>
      </c>
      <c r="C99" s="13">
        <v>71475</v>
      </c>
      <c r="D99" s="13">
        <v>11772</v>
      </c>
      <c r="E99" s="13">
        <v>19.7</v>
      </c>
      <c r="F99" s="13">
        <v>5707</v>
      </c>
      <c r="G99" s="13">
        <v>4723</v>
      </c>
      <c r="H99" s="13">
        <v>984</v>
      </c>
      <c r="I99" s="13">
        <v>10788</v>
      </c>
    </row>
    <row r="100" spans="1:9" ht="16.149999999999999" customHeight="1">
      <c r="A100" s="12" t="s">
        <v>215</v>
      </c>
      <c r="B100" s="13">
        <v>127633</v>
      </c>
      <c r="C100" s="13">
        <v>135269</v>
      </c>
      <c r="D100" s="13">
        <v>7636</v>
      </c>
      <c r="E100" s="13">
        <v>6</v>
      </c>
      <c r="F100" s="13">
        <v>17165</v>
      </c>
      <c r="G100" s="13">
        <v>13842</v>
      </c>
      <c r="H100" s="13">
        <v>3323</v>
      </c>
      <c r="I100" s="13">
        <v>4313</v>
      </c>
    </row>
    <row r="101" spans="1:9" ht="16.149999999999999" customHeight="1">
      <c r="A101" s="12" t="s">
        <v>216</v>
      </c>
      <c r="B101" s="13">
        <v>71574</v>
      </c>
      <c r="C101" s="13">
        <v>75042</v>
      </c>
      <c r="D101" s="13">
        <v>3468</v>
      </c>
      <c r="E101" s="13">
        <v>4.8</v>
      </c>
      <c r="F101" s="13">
        <v>7890</v>
      </c>
      <c r="G101" s="13">
        <v>9845</v>
      </c>
      <c r="H101" s="13">
        <v>-1955</v>
      </c>
      <c r="I101" s="13">
        <v>5423</v>
      </c>
    </row>
    <row r="102" spans="1:9" ht="16.149999999999999" customHeight="1">
      <c r="A102" s="12" t="s">
        <v>217</v>
      </c>
      <c r="B102" s="13">
        <v>83327</v>
      </c>
      <c r="C102" s="13">
        <v>88930</v>
      </c>
      <c r="D102" s="13">
        <v>5603</v>
      </c>
      <c r="E102" s="13">
        <v>6.7</v>
      </c>
      <c r="F102" s="13">
        <v>10253</v>
      </c>
      <c r="G102" s="13">
        <v>10063</v>
      </c>
      <c r="H102" s="13">
        <v>190</v>
      </c>
      <c r="I102" s="13">
        <v>5413</v>
      </c>
    </row>
    <row r="103" spans="1:9" ht="16.149999999999999" customHeight="1">
      <c r="A103" s="12" t="s">
        <v>218</v>
      </c>
      <c r="B103" s="13">
        <v>37719</v>
      </c>
      <c r="C103" s="13">
        <v>37766</v>
      </c>
      <c r="D103" s="13">
        <v>47</v>
      </c>
      <c r="E103" s="13">
        <v>0.1</v>
      </c>
      <c r="F103" s="13">
        <v>4400</v>
      </c>
      <c r="G103" s="13">
        <v>4863</v>
      </c>
      <c r="H103" s="13">
        <v>-463</v>
      </c>
      <c r="I103" s="13">
        <v>510</v>
      </c>
    </row>
    <row r="104" spans="1:9" ht="16.149999999999999" customHeight="1">
      <c r="A104" s="12" t="s">
        <v>219</v>
      </c>
      <c r="B104" s="13">
        <v>18366</v>
      </c>
      <c r="C104" s="13">
        <v>18928</v>
      </c>
      <c r="D104" s="13">
        <v>562</v>
      </c>
      <c r="E104" s="13">
        <v>3.1</v>
      </c>
      <c r="F104" s="13">
        <v>2066</v>
      </c>
      <c r="G104" s="13">
        <v>2685</v>
      </c>
      <c r="H104" s="13">
        <v>-619</v>
      </c>
      <c r="I104" s="13">
        <v>1181</v>
      </c>
    </row>
    <row r="105" spans="1:9" ht="16.149999999999999" customHeight="1" thickBot="1">
      <c r="A105" s="12" t="s">
        <v>220</v>
      </c>
      <c r="B105" s="13">
        <v>10619432</v>
      </c>
      <c r="C105" s="13">
        <v>11759744</v>
      </c>
      <c r="D105" s="13">
        <v>1140312</v>
      </c>
      <c r="E105" s="13">
        <v>10.7</v>
      </c>
      <c r="F105" s="13">
        <v>1331369</v>
      </c>
      <c r="G105" s="13">
        <v>1112396</v>
      </c>
      <c r="H105" s="13">
        <v>218973</v>
      </c>
      <c r="I105" s="13">
        <v>921339</v>
      </c>
    </row>
    <row r="106" spans="1:9" ht="16.149999999999999" customHeight="1">
      <c r="A106" s="242" t="s">
        <v>221</v>
      </c>
      <c r="B106" s="242"/>
      <c r="C106" s="242"/>
      <c r="D106" s="242"/>
      <c r="E106" s="242"/>
      <c r="F106" s="242"/>
      <c r="G106" s="242"/>
      <c r="H106" s="242"/>
      <c r="I106" s="242"/>
    </row>
  </sheetData>
  <sheetProtection algorithmName="SHA-512" hashValue="h7e70fEbYltE1X1Me8aNYqEnScWmvH66Bxffy3fSYNQIJJfTMdYKw38jylaha9uyaelBAv7SiMEqLv1l86iZkg==" saltValue="8kaG6BZ0IpBGJXPsAk0idg==" spinCount="100000" sheet="1" objects="1" scenarios="1"/>
  <mergeCells count="5">
    <mergeCell ref="A1:I1"/>
    <mergeCell ref="B3:C3"/>
    <mergeCell ref="D3:E3"/>
    <mergeCell ref="F3:I3"/>
    <mergeCell ref="A106:I10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0E0A-9EDF-4761-9A0C-70FDEB85F9F1}">
  <dimension ref="A1:I107"/>
  <sheetViews>
    <sheetView workbookViewId="0">
      <selection sqref="A1:XFD1048576"/>
    </sheetView>
  </sheetViews>
  <sheetFormatPr defaultColWidth="8.85546875" defaultRowHeight="12.75"/>
  <cols>
    <col min="1" max="1" width="16.7109375" style="9" bestFit="1" customWidth="1"/>
    <col min="2" max="3" width="27.7109375" style="9" bestFit="1" customWidth="1"/>
    <col min="4" max="4" width="13.85546875" style="9" bestFit="1" customWidth="1"/>
    <col min="5" max="5" width="9.7109375" style="9" bestFit="1" customWidth="1"/>
    <col min="6" max="7" width="13.85546875" style="9" bestFit="1" customWidth="1"/>
    <col min="8" max="8" width="22.28515625" style="9" bestFit="1" customWidth="1"/>
    <col min="9" max="9" width="18.140625" style="9" bestFit="1" customWidth="1"/>
    <col min="10" max="256" width="8.85546875" style="9"/>
    <col min="257" max="257" width="16.7109375" style="9" bestFit="1" customWidth="1"/>
    <col min="258" max="259" width="27.7109375" style="9" bestFit="1" customWidth="1"/>
    <col min="260" max="260" width="13.85546875" style="9" bestFit="1" customWidth="1"/>
    <col min="261" max="261" width="9.7109375" style="9" bestFit="1" customWidth="1"/>
    <col min="262" max="263" width="13.85546875" style="9" bestFit="1" customWidth="1"/>
    <col min="264" max="264" width="22.28515625" style="9" bestFit="1" customWidth="1"/>
    <col min="265" max="265" width="18.140625" style="9" bestFit="1" customWidth="1"/>
    <col min="266" max="512" width="8.85546875" style="9"/>
    <col min="513" max="513" width="16.7109375" style="9" bestFit="1" customWidth="1"/>
    <col min="514" max="515" width="27.7109375" style="9" bestFit="1" customWidth="1"/>
    <col min="516" max="516" width="13.85546875" style="9" bestFit="1" customWidth="1"/>
    <col min="517" max="517" width="9.7109375" style="9" bestFit="1" customWidth="1"/>
    <col min="518" max="519" width="13.85546875" style="9" bestFit="1" customWidth="1"/>
    <col min="520" max="520" width="22.28515625" style="9" bestFit="1" customWidth="1"/>
    <col min="521" max="521" width="18.140625" style="9" bestFit="1" customWidth="1"/>
    <col min="522" max="768" width="8.85546875" style="9"/>
    <col min="769" max="769" width="16.7109375" style="9" bestFit="1" customWidth="1"/>
    <col min="770" max="771" width="27.7109375" style="9" bestFit="1" customWidth="1"/>
    <col min="772" max="772" width="13.85546875" style="9" bestFit="1" customWidth="1"/>
    <col min="773" max="773" width="9.7109375" style="9" bestFit="1" customWidth="1"/>
    <col min="774" max="775" width="13.85546875" style="9" bestFit="1" customWidth="1"/>
    <col min="776" max="776" width="22.28515625" style="9" bestFit="1" customWidth="1"/>
    <col min="777" max="777" width="18.140625" style="9" bestFit="1" customWidth="1"/>
    <col min="778" max="1024" width="8.85546875" style="9"/>
    <col min="1025" max="1025" width="16.7109375" style="9" bestFit="1" customWidth="1"/>
    <col min="1026" max="1027" width="27.7109375" style="9" bestFit="1" customWidth="1"/>
    <col min="1028" max="1028" width="13.85546875" style="9" bestFit="1" customWidth="1"/>
    <col min="1029" max="1029" width="9.7109375" style="9" bestFit="1" customWidth="1"/>
    <col min="1030" max="1031" width="13.85546875" style="9" bestFit="1" customWidth="1"/>
    <col min="1032" max="1032" width="22.28515625" style="9" bestFit="1" customWidth="1"/>
    <col min="1033" max="1033" width="18.140625" style="9" bestFit="1" customWidth="1"/>
    <col min="1034" max="1280" width="8.85546875" style="9"/>
    <col min="1281" max="1281" width="16.7109375" style="9" bestFit="1" customWidth="1"/>
    <col min="1282" max="1283" width="27.7109375" style="9" bestFit="1" customWidth="1"/>
    <col min="1284" max="1284" width="13.85546875" style="9" bestFit="1" customWidth="1"/>
    <col min="1285" max="1285" width="9.7109375" style="9" bestFit="1" customWidth="1"/>
    <col min="1286" max="1287" width="13.85546875" style="9" bestFit="1" customWidth="1"/>
    <col min="1288" max="1288" width="22.28515625" style="9" bestFit="1" customWidth="1"/>
    <col min="1289" max="1289" width="18.140625" style="9" bestFit="1" customWidth="1"/>
    <col min="1290" max="1536" width="8.85546875" style="9"/>
    <col min="1537" max="1537" width="16.7109375" style="9" bestFit="1" customWidth="1"/>
    <col min="1538" max="1539" width="27.7109375" style="9" bestFit="1" customWidth="1"/>
    <col min="1540" max="1540" width="13.85546875" style="9" bestFit="1" customWidth="1"/>
    <col min="1541" max="1541" width="9.7109375" style="9" bestFit="1" customWidth="1"/>
    <col min="1542" max="1543" width="13.85546875" style="9" bestFit="1" customWidth="1"/>
    <col min="1544" max="1544" width="22.28515625" style="9" bestFit="1" customWidth="1"/>
    <col min="1545" max="1545" width="18.140625" style="9" bestFit="1" customWidth="1"/>
    <col min="1546" max="1792" width="8.85546875" style="9"/>
    <col min="1793" max="1793" width="16.7109375" style="9" bestFit="1" customWidth="1"/>
    <col min="1794" max="1795" width="27.7109375" style="9" bestFit="1" customWidth="1"/>
    <col min="1796" max="1796" width="13.85546875" style="9" bestFit="1" customWidth="1"/>
    <col min="1797" max="1797" width="9.7109375" style="9" bestFit="1" customWidth="1"/>
    <col min="1798" max="1799" width="13.85546875" style="9" bestFit="1" customWidth="1"/>
    <col min="1800" max="1800" width="22.28515625" style="9" bestFit="1" customWidth="1"/>
    <col min="1801" max="1801" width="18.140625" style="9" bestFit="1" customWidth="1"/>
    <col min="1802" max="2048" width="8.85546875" style="9"/>
    <col min="2049" max="2049" width="16.7109375" style="9" bestFit="1" customWidth="1"/>
    <col min="2050" max="2051" width="27.7109375" style="9" bestFit="1" customWidth="1"/>
    <col min="2052" max="2052" width="13.85546875" style="9" bestFit="1" customWidth="1"/>
    <col min="2053" max="2053" width="9.7109375" style="9" bestFit="1" customWidth="1"/>
    <col min="2054" max="2055" width="13.85546875" style="9" bestFit="1" customWidth="1"/>
    <col min="2056" max="2056" width="22.28515625" style="9" bestFit="1" customWidth="1"/>
    <col min="2057" max="2057" width="18.140625" style="9" bestFit="1" customWidth="1"/>
    <col min="2058" max="2304" width="8.85546875" style="9"/>
    <col min="2305" max="2305" width="16.7109375" style="9" bestFit="1" customWidth="1"/>
    <col min="2306" max="2307" width="27.7109375" style="9" bestFit="1" customWidth="1"/>
    <col min="2308" max="2308" width="13.85546875" style="9" bestFit="1" customWidth="1"/>
    <col min="2309" max="2309" width="9.7109375" style="9" bestFit="1" customWidth="1"/>
    <col min="2310" max="2311" width="13.85546875" style="9" bestFit="1" customWidth="1"/>
    <col min="2312" max="2312" width="22.28515625" style="9" bestFit="1" customWidth="1"/>
    <col min="2313" max="2313" width="18.140625" style="9" bestFit="1" customWidth="1"/>
    <col min="2314" max="2560" width="8.85546875" style="9"/>
    <col min="2561" max="2561" width="16.7109375" style="9" bestFit="1" customWidth="1"/>
    <col min="2562" max="2563" width="27.7109375" style="9" bestFit="1" customWidth="1"/>
    <col min="2564" max="2564" width="13.85546875" style="9" bestFit="1" customWidth="1"/>
    <col min="2565" max="2565" width="9.7109375" style="9" bestFit="1" customWidth="1"/>
    <col min="2566" max="2567" width="13.85546875" style="9" bestFit="1" customWidth="1"/>
    <col min="2568" max="2568" width="22.28515625" style="9" bestFit="1" customWidth="1"/>
    <col min="2569" max="2569" width="18.140625" style="9" bestFit="1" customWidth="1"/>
    <col min="2570" max="2816" width="8.85546875" style="9"/>
    <col min="2817" max="2817" width="16.7109375" style="9" bestFit="1" customWidth="1"/>
    <col min="2818" max="2819" width="27.7109375" style="9" bestFit="1" customWidth="1"/>
    <col min="2820" max="2820" width="13.85546875" style="9" bestFit="1" customWidth="1"/>
    <col min="2821" max="2821" width="9.7109375" style="9" bestFit="1" customWidth="1"/>
    <col min="2822" max="2823" width="13.85546875" style="9" bestFit="1" customWidth="1"/>
    <col min="2824" max="2824" width="22.28515625" style="9" bestFit="1" customWidth="1"/>
    <col min="2825" max="2825" width="18.140625" style="9" bestFit="1" customWidth="1"/>
    <col min="2826" max="3072" width="8.85546875" style="9"/>
    <col min="3073" max="3073" width="16.7109375" style="9" bestFit="1" customWidth="1"/>
    <col min="3074" max="3075" width="27.7109375" style="9" bestFit="1" customWidth="1"/>
    <col min="3076" max="3076" width="13.85546875" style="9" bestFit="1" customWidth="1"/>
    <col min="3077" max="3077" width="9.7109375" style="9" bestFit="1" customWidth="1"/>
    <col min="3078" max="3079" width="13.85546875" style="9" bestFit="1" customWidth="1"/>
    <col min="3080" max="3080" width="22.28515625" style="9" bestFit="1" customWidth="1"/>
    <col min="3081" max="3081" width="18.140625" style="9" bestFit="1" customWidth="1"/>
    <col min="3082" max="3328" width="8.85546875" style="9"/>
    <col min="3329" max="3329" width="16.7109375" style="9" bestFit="1" customWidth="1"/>
    <col min="3330" max="3331" width="27.7109375" style="9" bestFit="1" customWidth="1"/>
    <col min="3332" max="3332" width="13.85546875" style="9" bestFit="1" customWidth="1"/>
    <col min="3333" max="3333" width="9.7109375" style="9" bestFit="1" customWidth="1"/>
    <col min="3334" max="3335" width="13.85546875" style="9" bestFit="1" customWidth="1"/>
    <col min="3336" max="3336" width="22.28515625" style="9" bestFit="1" customWidth="1"/>
    <col min="3337" max="3337" width="18.140625" style="9" bestFit="1" customWidth="1"/>
    <col min="3338" max="3584" width="8.85546875" style="9"/>
    <col min="3585" max="3585" width="16.7109375" style="9" bestFit="1" customWidth="1"/>
    <col min="3586" max="3587" width="27.7109375" style="9" bestFit="1" customWidth="1"/>
    <col min="3588" max="3588" width="13.85546875" style="9" bestFit="1" customWidth="1"/>
    <col min="3589" max="3589" width="9.7109375" style="9" bestFit="1" customWidth="1"/>
    <col min="3590" max="3591" width="13.85546875" style="9" bestFit="1" customWidth="1"/>
    <col min="3592" max="3592" width="22.28515625" style="9" bestFit="1" customWidth="1"/>
    <col min="3593" max="3593" width="18.140625" style="9" bestFit="1" customWidth="1"/>
    <col min="3594" max="3840" width="8.85546875" style="9"/>
    <col min="3841" max="3841" width="16.7109375" style="9" bestFit="1" customWidth="1"/>
    <col min="3842" max="3843" width="27.7109375" style="9" bestFit="1" customWidth="1"/>
    <col min="3844" max="3844" width="13.85546875" style="9" bestFit="1" customWidth="1"/>
    <col min="3845" max="3845" width="9.7109375" style="9" bestFit="1" customWidth="1"/>
    <col min="3846" max="3847" width="13.85546875" style="9" bestFit="1" customWidth="1"/>
    <col min="3848" max="3848" width="22.28515625" style="9" bestFit="1" customWidth="1"/>
    <col min="3849" max="3849" width="18.140625" style="9" bestFit="1" customWidth="1"/>
    <col min="3850" max="4096" width="8.85546875" style="9"/>
    <col min="4097" max="4097" width="16.7109375" style="9" bestFit="1" customWidth="1"/>
    <col min="4098" max="4099" width="27.7109375" style="9" bestFit="1" customWidth="1"/>
    <col min="4100" max="4100" width="13.85546875" style="9" bestFit="1" customWidth="1"/>
    <col min="4101" max="4101" width="9.7109375" style="9" bestFit="1" customWidth="1"/>
    <col min="4102" max="4103" width="13.85546875" style="9" bestFit="1" customWidth="1"/>
    <col min="4104" max="4104" width="22.28515625" style="9" bestFit="1" customWidth="1"/>
    <col min="4105" max="4105" width="18.140625" style="9" bestFit="1" customWidth="1"/>
    <col min="4106" max="4352" width="8.85546875" style="9"/>
    <col min="4353" max="4353" width="16.7109375" style="9" bestFit="1" customWidth="1"/>
    <col min="4354" max="4355" width="27.7109375" style="9" bestFit="1" customWidth="1"/>
    <col min="4356" max="4356" width="13.85546875" style="9" bestFit="1" customWidth="1"/>
    <col min="4357" max="4357" width="9.7109375" style="9" bestFit="1" customWidth="1"/>
    <col min="4358" max="4359" width="13.85546875" style="9" bestFit="1" customWidth="1"/>
    <col min="4360" max="4360" width="22.28515625" style="9" bestFit="1" customWidth="1"/>
    <col min="4361" max="4361" width="18.140625" style="9" bestFit="1" customWidth="1"/>
    <col min="4362" max="4608" width="8.85546875" style="9"/>
    <col min="4609" max="4609" width="16.7109375" style="9" bestFit="1" customWidth="1"/>
    <col min="4610" max="4611" width="27.7109375" style="9" bestFit="1" customWidth="1"/>
    <col min="4612" max="4612" width="13.85546875" style="9" bestFit="1" customWidth="1"/>
    <col min="4613" max="4613" width="9.7109375" style="9" bestFit="1" customWidth="1"/>
    <col min="4614" max="4615" width="13.85546875" style="9" bestFit="1" customWidth="1"/>
    <col min="4616" max="4616" width="22.28515625" style="9" bestFit="1" customWidth="1"/>
    <col min="4617" max="4617" width="18.140625" style="9" bestFit="1" customWidth="1"/>
    <col min="4618" max="4864" width="8.85546875" style="9"/>
    <col min="4865" max="4865" width="16.7109375" style="9" bestFit="1" customWidth="1"/>
    <col min="4866" max="4867" width="27.7109375" style="9" bestFit="1" customWidth="1"/>
    <col min="4868" max="4868" width="13.85546875" style="9" bestFit="1" customWidth="1"/>
    <col min="4869" max="4869" width="9.7109375" style="9" bestFit="1" customWidth="1"/>
    <col min="4870" max="4871" width="13.85546875" style="9" bestFit="1" customWidth="1"/>
    <col min="4872" max="4872" width="22.28515625" style="9" bestFit="1" customWidth="1"/>
    <col min="4873" max="4873" width="18.140625" style="9" bestFit="1" customWidth="1"/>
    <col min="4874" max="5120" width="8.85546875" style="9"/>
    <col min="5121" max="5121" width="16.7109375" style="9" bestFit="1" customWidth="1"/>
    <col min="5122" max="5123" width="27.7109375" style="9" bestFit="1" customWidth="1"/>
    <col min="5124" max="5124" width="13.85546875" style="9" bestFit="1" customWidth="1"/>
    <col min="5125" max="5125" width="9.7109375" style="9" bestFit="1" customWidth="1"/>
    <col min="5126" max="5127" width="13.85546875" style="9" bestFit="1" customWidth="1"/>
    <col min="5128" max="5128" width="22.28515625" style="9" bestFit="1" customWidth="1"/>
    <col min="5129" max="5129" width="18.140625" style="9" bestFit="1" customWidth="1"/>
    <col min="5130" max="5376" width="8.85546875" style="9"/>
    <col min="5377" max="5377" width="16.7109375" style="9" bestFit="1" customWidth="1"/>
    <col min="5378" max="5379" width="27.7109375" style="9" bestFit="1" customWidth="1"/>
    <col min="5380" max="5380" width="13.85546875" style="9" bestFit="1" customWidth="1"/>
    <col min="5381" max="5381" width="9.7109375" style="9" bestFit="1" customWidth="1"/>
    <col min="5382" max="5383" width="13.85546875" style="9" bestFit="1" customWidth="1"/>
    <col min="5384" max="5384" width="22.28515625" style="9" bestFit="1" customWidth="1"/>
    <col min="5385" max="5385" width="18.140625" style="9" bestFit="1" customWidth="1"/>
    <col min="5386" max="5632" width="8.85546875" style="9"/>
    <col min="5633" max="5633" width="16.7109375" style="9" bestFit="1" customWidth="1"/>
    <col min="5634" max="5635" width="27.7109375" style="9" bestFit="1" customWidth="1"/>
    <col min="5636" max="5636" width="13.85546875" style="9" bestFit="1" customWidth="1"/>
    <col min="5637" max="5637" width="9.7109375" style="9" bestFit="1" customWidth="1"/>
    <col min="5638" max="5639" width="13.85546875" style="9" bestFit="1" customWidth="1"/>
    <col min="5640" max="5640" width="22.28515625" style="9" bestFit="1" customWidth="1"/>
    <col min="5641" max="5641" width="18.140625" style="9" bestFit="1" customWidth="1"/>
    <col min="5642" max="5888" width="8.85546875" style="9"/>
    <col min="5889" max="5889" width="16.7109375" style="9" bestFit="1" customWidth="1"/>
    <col min="5890" max="5891" width="27.7109375" style="9" bestFit="1" customWidth="1"/>
    <col min="5892" max="5892" width="13.85546875" style="9" bestFit="1" customWidth="1"/>
    <col min="5893" max="5893" width="9.7109375" style="9" bestFit="1" customWidth="1"/>
    <col min="5894" max="5895" width="13.85546875" style="9" bestFit="1" customWidth="1"/>
    <col min="5896" max="5896" width="22.28515625" style="9" bestFit="1" customWidth="1"/>
    <col min="5897" max="5897" width="18.140625" style="9" bestFit="1" customWidth="1"/>
    <col min="5898" max="6144" width="8.85546875" style="9"/>
    <col min="6145" max="6145" width="16.7109375" style="9" bestFit="1" customWidth="1"/>
    <col min="6146" max="6147" width="27.7109375" style="9" bestFit="1" customWidth="1"/>
    <col min="6148" max="6148" width="13.85546875" style="9" bestFit="1" customWidth="1"/>
    <col min="6149" max="6149" width="9.7109375" style="9" bestFit="1" customWidth="1"/>
    <col min="6150" max="6151" width="13.85546875" style="9" bestFit="1" customWidth="1"/>
    <col min="6152" max="6152" width="22.28515625" style="9" bestFit="1" customWidth="1"/>
    <col min="6153" max="6153" width="18.140625" style="9" bestFit="1" customWidth="1"/>
    <col min="6154" max="6400" width="8.85546875" style="9"/>
    <col min="6401" max="6401" width="16.7109375" style="9" bestFit="1" customWidth="1"/>
    <col min="6402" max="6403" width="27.7109375" style="9" bestFit="1" customWidth="1"/>
    <col min="6404" max="6404" width="13.85546875" style="9" bestFit="1" customWidth="1"/>
    <col min="6405" max="6405" width="9.7109375" style="9" bestFit="1" customWidth="1"/>
    <col min="6406" max="6407" width="13.85546875" style="9" bestFit="1" customWidth="1"/>
    <col min="6408" max="6408" width="22.28515625" style="9" bestFit="1" customWidth="1"/>
    <col min="6409" max="6409" width="18.140625" style="9" bestFit="1" customWidth="1"/>
    <col min="6410" max="6656" width="8.85546875" style="9"/>
    <col min="6657" max="6657" width="16.7109375" style="9" bestFit="1" customWidth="1"/>
    <col min="6658" max="6659" width="27.7109375" style="9" bestFit="1" customWidth="1"/>
    <col min="6660" max="6660" width="13.85546875" style="9" bestFit="1" customWidth="1"/>
    <col min="6661" max="6661" width="9.7109375" style="9" bestFit="1" customWidth="1"/>
    <col min="6662" max="6663" width="13.85546875" style="9" bestFit="1" customWidth="1"/>
    <col min="6664" max="6664" width="22.28515625" style="9" bestFit="1" customWidth="1"/>
    <col min="6665" max="6665" width="18.140625" style="9" bestFit="1" customWidth="1"/>
    <col min="6666" max="6912" width="8.85546875" style="9"/>
    <col min="6913" max="6913" width="16.7109375" style="9" bestFit="1" customWidth="1"/>
    <col min="6914" max="6915" width="27.7109375" style="9" bestFit="1" customWidth="1"/>
    <col min="6916" max="6916" width="13.85546875" style="9" bestFit="1" customWidth="1"/>
    <col min="6917" max="6917" width="9.7109375" style="9" bestFit="1" customWidth="1"/>
    <col min="6918" max="6919" width="13.85546875" style="9" bestFit="1" customWidth="1"/>
    <col min="6920" max="6920" width="22.28515625" style="9" bestFit="1" customWidth="1"/>
    <col min="6921" max="6921" width="18.140625" style="9" bestFit="1" customWidth="1"/>
    <col min="6922" max="7168" width="8.85546875" style="9"/>
    <col min="7169" max="7169" width="16.7109375" style="9" bestFit="1" customWidth="1"/>
    <col min="7170" max="7171" width="27.7109375" style="9" bestFit="1" customWidth="1"/>
    <col min="7172" max="7172" width="13.85546875" style="9" bestFit="1" customWidth="1"/>
    <col min="7173" max="7173" width="9.7109375" style="9" bestFit="1" customWidth="1"/>
    <col min="7174" max="7175" width="13.85546875" style="9" bestFit="1" customWidth="1"/>
    <col min="7176" max="7176" width="22.28515625" style="9" bestFit="1" customWidth="1"/>
    <col min="7177" max="7177" width="18.140625" style="9" bestFit="1" customWidth="1"/>
    <col min="7178" max="7424" width="8.85546875" style="9"/>
    <col min="7425" max="7425" width="16.7109375" style="9" bestFit="1" customWidth="1"/>
    <col min="7426" max="7427" width="27.7109375" style="9" bestFit="1" customWidth="1"/>
    <col min="7428" max="7428" width="13.85546875" style="9" bestFit="1" customWidth="1"/>
    <col min="7429" max="7429" width="9.7109375" style="9" bestFit="1" customWidth="1"/>
    <col min="7430" max="7431" width="13.85546875" style="9" bestFit="1" customWidth="1"/>
    <col min="7432" max="7432" width="22.28515625" style="9" bestFit="1" customWidth="1"/>
    <col min="7433" max="7433" width="18.140625" style="9" bestFit="1" customWidth="1"/>
    <col min="7434" max="7680" width="8.85546875" style="9"/>
    <col min="7681" max="7681" width="16.7109375" style="9" bestFit="1" customWidth="1"/>
    <col min="7682" max="7683" width="27.7109375" style="9" bestFit="1" customWidth="1"/>
    <col min="7684" max="7684" width="13.85546875" style="9" bestFit="1" customWidth="1"/>
    <col min="7685" max="7685" width="9.7109375" style="9" bestFit="1" customWidth="1"/>
    <col min="7686" max="7687" width="13.85546875" style="9" bestFit="1" customWidth="1"/>
    <col min="7688" max="7688" width="22.28515625" style="9" bestFit="1" customWidth="1"/>
    <col min="7689" max="7689" width="18.140625" style="9" bestFit="1" customWidth="1"/>
    <col min="7690" max="7936" width="8.85546875" style="9"/>
    <col min="7937" max="7937" width="16.7109375" style="9" bestFit="1" customWidth="1"/>
    <col min="7938" max="7939" width="27.7109375" style="9" bestFit="1" customWidth="1"/>
    <col min="7940" max="7940" width="13.85546875" style="9" bestFit="1" customWidth="1"/>
    <col min="7941" max="7941" width="9.7109375" style="9" bestFit="1" customWidth="1"/>
    <col min="7942" max="7943" width="13.85546875" style="9" bestFit="1" customWidth="1"/>
    <col min="7944" max="7944" width="22.28515625" style="9" bestFit="1" customWidth="1"/>
    <col min="7945" max="7945" width="18.140625" style="9" bestFit="1" customWidth="1"/>
    <col min="7946" max="8192" width="8.85546875" style="9"/>
    <col min="8193" max="8193" width="16.7109375" style="9" bestFit="1" customWidth="1"/>
    <col min="8194" max="8195" width="27.7109375" style="9" bestFit="1" customWidth="1"/>
    <col min="8196" max="8196" width="13.85546875" style="9" bestFit="1" customWidth="1"/>
    <col min="8197" max="8197" width="9.7109375" style="9" bestFit="1" customWidth="1"/>
    <col min="8198" max="8199" width="13.85546875" style="9" bestFit="1" customWidth="1"/>
    <col min="8200" max="8200" width="22.28515625" style="9" bestFit="1" customWidth="1"/>
    <col min="8201" max="8201" width="18.140625" style="9" bestFit="1" customWidth="1"/>
    <col min="8202" max="8448" width="8.85546875" style="9"/>
    <col min="8449" max="8449" width="16.7109375" style="9" bestFit="1" customWidth="1"/>
    <col min="8450" max="8451" width="27.7109375" style="9" bestFit="1" customWidth="1"/>
    <col min="8452" max="8452" width="13.85546875" style="9" bestFit="1" customWidth="1"/>
    <col min="8453" max="8453" width="9.7109375" style="9" bestFit="1" customWidth="1"/>
    <col min="8454" max="8455" width="13.85546875" style="9" bestFit="1" customWidth="1"/>
    <col min="8456" max="8456" width="22.28515625" style="9" bestFit="1" customWidth="1"/>
    <col min="8457" max="8457" width="18.140625" style="9" bestFit="1" customWidth="1"/>
    <col min="8458" max="8704" width="8.85546875" style="9"/>
    <col min="8705" max="8705" width="16.7109375" style="9" bestFit="1" customWidth="1"/>
    <col min="8706" max="8707" width="27.7109375" style="9" bestFit="1" customWidth="1"/>
    <col min="8708" max="8708" width="13.85546875" style="9" bestFit="1" customWidth="1"/>
    <col min="8709" max="8709" width="9.7109375" style="9" bestFit="1" customWidth="1"/>
    <col min="8710" max="8711" width="13.85546875" style="9" bestFit="1" customWidth="1"/>
    <col min="8712" max="8712" width="22.28515625" style="9" bestFit="1" customWidth="1"/>
    <col min="8713" max="8713" width="18.140625" style="9" bestFit="1" customWidth="1"/>
    <col min="8714" max="8960" width="8.85546875" style="9"/>
    <col min="8961" max="8961" width="16.7109375" style="9" bestFit="1" customWidth="1"/>
    <col min="8962" max="8963" width="27.7109375" style="9" bestFit="1" customWidth="1"/>
    <col min="8964" max="8964" width="13.85546875" style="9" bestFit="1" customWidth="1"/>
    <col min="8965" max="8965" width="9.7109375" style="9" bestFit="1" customWidth="1"/>
    <col min="8966" max="8967" width="13.85546875" style="9" bestFit="1" customWidth="1"/>
    <col min="8968" max="8968" width="22.28515625" style="9" bestFit="1" customWidth="1"/>
    <col min="8969" max="8969" width="18.140625" style="9" bestFit="1" customWidth="1"/>
    <col min="8970" max="9216" width="8.85546875" style="9"/>
    <col min="9217" max="9217" width="16.7109375" style="9" bestFit="1" customWidth="1"/>
    <col min="9218" max="9219" width="27.7109375" style="9" bestFit="1" customWidth="1"/>
    <col min="9220" max="9220" width="13.85546875" style="9" bestFit="1" customWidth="1"/>
    <col min="9221" max="9221" width="9.7109375" style="9" bestFit="1" customWidth="1"/>
    <col min="9222" max="9223" width="13.85546875" style="9" bestFit="1" customWidth="1"/>
    <col min="9224" max="9224" width="22.28515625" style="9" bestFit="1" customWidth="1"/>
    <col min="9225" max="9225" width="18.140625" style="9" bestFit="1" customWidth="1"/>
    <col min="9226" max="9472" width="8.85546875" style="9"/>
    <col min="9473" max="9473" width="16.7109375" style="9" bestFit="1" customWidth="1"/>
    <col min="9474" max="9475" width="27.7109375" style="9" bestFit="1" customWidth="1"/>
    <col min="9476" max="9476" width="13.85546875" style="9" bestFit="1" customWidth="1"/>
    <col min="9477" max="9477" width="9.7109375" style="9" bestFit="1" customWidth="1"/>
    <col min="9478" max="9479" width="13.85546875" style="9" bestFit="1" customWidth="1"/>
    <col min="9480" max="9480" width="22.28515625" style="9" bestFit="1" customWidth="1"/>
    <col min="9481" max="9481" width="18.140625" style="9" bestFit="1" customWidth="1"/>
    <col min="9482" max="9728" width="8.85546875" style="9"/>
    <col min="9729" max="9729" width="16.7109375" style="9" bestFit="1" customWidth="1"/>
    <col min="9730" max="9731" width="27.7109375" style="9" bestFit="1" customWidth="1"/>
    <col min="9732" max="9732" width="13.85546875" style="9" bestFit="1" customWidth="1"/>
    <col min="9733" max="9733" width="9.7109375" style="9" bestFit="1" customWidth="1"/>
    <col min="9734" max="9735" width="13.85546875" style="9" bestFit="1" customWidth="1"/>
    <col min="9736" max="9736" width="22.28515625" style="9" bestFit="1" customWidth="1"/>
    <col min="9737" max="9737" width="18.140625" style="9" bestFit="1" customWidth="1"/>
    <col min="9738" max="9984" width="8.85546875" style="9"/>
    <col min="9985" max="9985" width="16.7109375" style="9" bestFit="1" customWidth="1"/>
    <col min="9986" max="9987" width="27.7109375" style="9" bestFit="1" customWidth="1"/>
    <col min="9988" max="9988" width="13.85546875" style="9" bestFit="1" customWidth="1"/>
    <col min="9989" max="9989" width="9.7109375" style="9" bestFit="1" customWidth="1"/>
    <col min="9990" max="9991" width="13.85546875" style="9" bestFit="1" customWidth="1"/>
    <col min="9992" max="9992" width="22.28515625" style="9" bestFit="1" customWidth="1"/>
    <col min="9993" max="9993" width="18.140625" style="9" bestFit="1" customWidth="1"/>
    <col min="9994" max="10240" width="8.85546875" style="9"/>
    <col min="10241" max="10241" width="16.7109375" style="9" bestFit="1" customWidth="1"/>
    <col min="10242" max="10243" width="27.7109375" style="9" bestFit="1" customWidth="1"/>
    <col min="10244" max="10244" width="13.85546875" style="9" bestFit="1" customWidth="1"/>
    <col min="10245" max="10245" width="9.7109375" style="9" bestFit="1" customWidth="1"/>
    <col min="10246" max="10247" width="13.85546875" style="9" bestFit="1" customWidth="1"/>
    <col min="10248" max="10248" width="22.28515625" style="9" bestFit="1" customWidth="1"/>
    <col min="10249" max="10249" width="18.140625" style="9" bestFit="1" customWidth="1"/>
    <col min="10250" max="10496" width="8.85546875" style="9"/>
    <col min="10497" max="10497" width="16.7109375" style="9" bestFit="1" customWidth="1"/>
    <col min="10498" max="10499" width="27.7109375" style="9" bestFit="1" customWidth="1"/>
    <col min="10500" max="10500" width="13.85546875" style="9" bestFit="1" customWidth="1"/>
    <col min="10501" max="10501" width="9.7109375" style="9" bestFit="1" customWidth="1"/>
    <col min="10502" max="10503" width="13.85546875" style="9" bestFit="1" customWidth="1"/>
    <col min="10504" max="10504" width="22.28515625" style="9" bestFit="1" customWidth="1"/>
    <col min="10505" max="10505" width="18.140625" style="9" bestFit="1" customWidth="1"/>
    <col min="10506" max="10752" width="8.85546875" style="9"/>
    <col min="10753" max="10753" width="16.7109375" style="9" bestFit="1" customWidth="1"/>
    <col min="10754" max="10755" width="27.7109375" style="9" bestFit="1" customWidth="1"/>
    <col min="10756" max="10756" width="13.85546875" style="9" bestFit="1" customWidth="1"/>
    <col min="10757" max="10757" width="9.7109375" style="9" bestFit="1" customWidth="1"/>
    <col min="10758" max="10759" width="13.85546875" style="9" bestFit="1" customWidth="1"/>
    <col min="10760" max="10760" width="22.28515625" style="9" bestFit="1" customWidth="1"/>
    <col min="10761" max="10761" width="18.140625" style="9" bestFit="1" customWidth="1"/>
    <col min="10762" max="11008" width="8.85546875" style="9"/>
    <col min="11009" max="11009" width="16.7109375" style="9" bestFit="1" customWidth="1"/>
    <col min="11010" max="11011" width="27.7109375" style="9" bestFit="1" customWidth="1"/>
    <col min="11012" max="11012" width="13.85546875" style="9" bestFit="1" customWidth="1"/>
    <col min="11013" max="11013" width="9.7109375" style="9" bestFit="1" customWidth="1"/>
    <col min="11014" max="11015" width="13.85546875" style="9" bestFit="1" customWidth="1"/>
    <col min="11016" max="11016" width="22.28515625" style="9" bestFit="1" customWidth="1"/>
    <col min="11017" max="11017" width="18.140625" style="9" bestFit="1" customWidth="1"/>
    <col min="11018" max="11264" width="8.85546875" style="9"/>
    <col min="11265" max="11265" width="16.7109375" style="9" bestFit="1" customWidth="1"/>
    <col min="11266" max="11267" width="27.7109375" style="9" bestFit="1" customWidth="1"/>
    <col min="11268" max="11268" width="13.85546875" style="9" bestFit="1" customWidth="1"/>
    <col min="11269" max="11269" width="9.7109375" style="9" bestFit="1" customWidth="1"/>
    <col min="11270" max="11271" width="13.85546875" style="9" bestFit="1" customWidth="1"/>
    <col min="11272" max="11272" width="22.28515625" style="9" bestFit="1" customWidth="1"/>
    <col min="11273" max="11273" width="18.140625" style="9" bestFit="1" customWidth="1"/>
    <col min="11274" max="11520" width="8.85546875" style="9"/>
    <col min="11521" max="11521" width="16.7109375" style="9" bestFit="1" customWidth="1"/>
    <col min="11522" max="11523" width="27.7109375" style="9" bestFit="1" customWidth="1"/>
    <col min="11524" max="11524" width="13.85546875" style="9" bestFit="1" customWidth="1"/>
    <col min="11525" max="11525" width="9.7109375" style="9" bestFit="1" customWidth="1"/>
    <col min="11526" max="11527" width="13.85546875" style="9" bestFit="1" customWidth="1"/>
    <col min="11528" max="11528" width="22.28515625" style="9" bestFit="1" customWidth="1"/>
    <col min="11529" max="11529" width="18.140625" style="9" bestFit="1" customWidth="1"/>
    <col min="11530" max="11776" width="8.85546875" style="9"/>
    <col min="11777" max="11777" width="16.7109375" style="9" bestFit="1" customWidth="1"/>
    <col min="11778" max="11779" width="27.7109375" style="9" bestFit="1" customWidth="1"/>
    <col min="11780" max="11780" width="13.85546875" style="9" bestFit="1" customWidth="1"/>
    <col min="11781" max="11781" width="9.7109375" style="9" bestFit="1" customWidth="1"/>
    <col min="11782" max="11783" width="13.85546875" style="9" bestFit="1" customWidth="1"/>
    <col min="11784" max="11784" width="22.28515625" style="9" bestFit="1" customWidth="1"/>
    <col min="11785" max="11785" width="18.140625" style="9" bestFit="1" customWidth="1"/>
    <col min="11786" max="12032" width="8.85546875" style="9"/>
    <col min="12033" max="12033" width="16.7109375" style="9" bestFit="1" customWidth="1"/>
    <col min="12034" max="12035" width="27.7109375" style="9" bestFit="1" customWidth="1"/>
    <col min="12036" max="12036" width="13.85546875" style="9" bestFit="1" customWidth="1"/>
    <col min="12037" max="12037" width="9.7109375" style="9" bestFit="1" customWidth="1"/>
    <col min="12038" max="12039" width="13.85546875" style="9" bestFit="1" customWidth="1"/>
    <col min="12040" max="12040" width="22.28515625" style="9" bestFit="1" customWidth="1"/>
    <col min="12041" max="12041" width="18.140625" style="9" bestFit="1" customWidth="1"/>
    <col min="12042" max="12288" width="8.85546875" style="9"/>
    <col min="12289" max="12289" width="16.7109375" style="9" bestFit="1" customWidth="1"/>
    <col min="12290" max="12291" width="27.7109375" style="9" bestFit="1" customWidth="1"/>
    <col min="12292" max="12292" width="13.85546875" style="9" bestFit="1" customWidth="1"/>
    <col min="12293" max="12293" width="9.7109375" style="9" bestFit="1" customWidth="1"/>
    <col min="12294" max="12295" width="13.85546875" style="9" bestFit="1" customWidth="1"/>
    <col min="12296" max="12296" width="22.28515625" style="9" bestFit="1" customWidth="1"/>
    <col min="12297" max="12297" width="18.140625" style="9" bestFit="1" customWidth="1"/>
    <col min="12298" max="12544" width="8.85546875" style="9"/>
    <col min="12545" max="12545" width="16.7109375" style="9" bestFit="1" customWidth="1"/>
    <col min="12546" max="12547" width="27.7109375" style="9" bestFit="1" customWidth="1"/>
    <col min="12548" max="12548" width="13.85546875" style="9" bestFit="1" customWidth="1"/>
    <col min="12549" max="12549" width="9.7109375" style="9" bestFit="1" customWidth="1"/>
    <col min="12550" max="12551" width="13.85546875" style="9" bestFit="1" customWidth="1"/>
    <col min="12552" max="12552" width="22.28515625" style="9" bestFit="1" customWidth="1"/>
    <col min="12553" max="12553" width="18.140625" style="9" bestFit="1" customWidth="1"/>
    <col min="12554" max="12800" width="8.85546875" style="9"/>
    <col min="12801" max="12801" width="16.7109375" style="9" bestFit="1" customWidth="1"/>
    <col min="12802" max="12803" width="27.7109375" style="9" bestFit="1" customWidth="1"/>
    <col min="12804" max="12804" width="13.85546875" style="9" bestFit="1" customWidth="1"/>
    <col min="12805" max="12805" width="9.7109375" style="9" bestFit="1" customWidth="1"/>
    <col min="12806" max="12807" width="13.85546875" style="9" bestFit="1" customWidth="1"/>
    <col min="12808" max="12808" width="22.28515625" style="9" bestFit="1" customWidth="1"/>
    <col min="12809" max="12809" width="18.140625" style="9" bestFit="1" customWidth="1"/>
    <col min="12810" max="13056" width="8.85546875" style="9"/>
    <col min="13057" max="13057" width="16.7109375" style="9" bestFit="1" customWidth="1"/>
    <col min="13058" max="13059" width="27.7109375" style="9" bestFit="1" customWidth="1"/>
    <col min="13060" max="13060" width="13.85546875" style="9" bestFit="1" customWidth="1"/>
    <col min="13061" max="13061" width="9.7109375" style="9" bestFit="1" customWidth="1"/>
    <col min="13062" max="13063" width="13.85546875" style="9" bestFit="1" customWidth="1"/>
    <col min="13064" max="13064" width="22.28515625" style="9" bestFit="1" customWidth="1"/>
    <col min="13065" max="13065" width="18.140625" style="9" bestFit="1" customWidth="1"/>
    <col min="13066" max="13312" width="8.85546875" style="9"/>
    <col min="13313" max="13313" width="16.7109375" style="9" bestFit="1" customWidth="1"/>
    <col min="13314" max="13315" width="27.7109375" style="9" bestFit="1" customWidth="1"/>
    <col min="13316" max="13316" width="13.85546875" style="9" bestFit="1" customWidth="1"/>
    <col min="13317" max="13317" width="9.7109375" style="9" bestFit="1" customWidth="1"/>
    <col min="13318" max="13319" width="13.85546875" style="9" bestFit="1" customWidth="1"/>
    <col min="13320" max="13320" width="22.28515625" style="9" bestFit="1" customWidth="1"/>
    <col min="13321" max="13321" width="18.140625" style="9" bestFit="1" customWidth="1"/>
    <col min="13322" max="13568" width="8.85546875" style="9"/>
    <col min="13569" max="13569" width="16.7109375" style="9" bestFit="1" customWidth="1"/>
    <col min="13570" max="13571" width="27.7109375" style="9" bestFit="1" customWidth="1"/>
    <col min="13572" max="13572" width="13.85546875" style="9" bestFit="1" customWidth="1"/>
    <col min="13573" max="13573" width="9.7109375" style="9" bestFit="1" customWidth="1"/>
    <col min="13574" max="13575" width="13.85546875" style="9" bestFit="1" customWidth="1"/>
    <col min="13576" max="13576" width="22.28515625" style="9" bestFit="1" customWidth="1"/>
    <col min="13577" max="13577" width="18.140625" style="9" bestFit="1" customWidth="1"/>
    <col min="13578" max="13824" width="8.85546875" style="9"/>
    <col min="13825" max="13825" width="16.7109375" style="9" bestFit="1" customWidth="1"/>
    <col min="13826" max="13827" width="27.7109375" style="9" bestFit="1" customWidth="1"/>
    <col min="13828" max="13828" width="13.85546875" style="9" bestFit="1" customWidth="1"/>
    <col min="13829" max="13829" width="9.7109375" style="9" bestFit="1" customWidth="1"/>
    <col min="13830" max="13831" width="13.85546875" style="9" bestFit="1" customWidth="1"/>
    <col min="13832" max="13832" width="22.28515625" style="9" bestFit="1" customWidth="1"/>
    <col min="13833" max="13833" width="18.140625" style="9" bestFit="1" customWidth="1"/>
    <col min="13834" max="14080" width="8.85546875" style="9"/>
    <col min="14081" max="14081" width="16.7109375" style="9" bestFit="1" customWidth="1"/>
    <col min="14082" max="14083" width="27.7109375" style="9" bestFit="1" customWidth="1"/>
    <col min="14084" max="14084" width="13.85546875" style="9" bestFit="1" customWidth="1"/>
    <col min="14085" max="14085" width="9.7109375" style="9" bestFit="1" customWidth="1"/>
    <col min="14086" max="14087" width="13.85546875" style="9" bestFit="1" customWidth="1"/>
    <col min="14088" max="14088" width="22.28515625" style="9" bestFit="1" customWidth="1"/>
    <col min="14089" max="14089" width="18.140625" style="9" bestFit="1" customWidth="1"/>
    <col min="14090" max="14336" width="8.85546875" style="9"/>
    <col min="14337" max="14337" width="16.7109375" style="9" bestFit="1" customWidth="1"/>
    <col min="14338" max="14339" width="27.7109375" style="9" bestFit="1" customWidth="1"/>
    <col min="14340" max="14340" width="13.85546875" style="9" bestFit="1" customWidth="1"/>
    <col min="14341" max="14341" width="9.7109375" style="9" bestFit="1" customWidth="1"/>
    <col min="14342" max="14343" width="13.85546875" style="9" bestFit="1" customWidth="1"/>
    <col min="14344" max="14344" width="22.28515625" style="9" bestFit="1" customWidth="1"/>
    <col min="14345" max="14345" width="18.140625" style="9" bestFit="1" customWidth="1"/>
    <col min="14346" max="14592" width="8.85546875" style="9"/>
    <col min="14593" max="14593" width="16.7109375" style="9" bestFit="1" customWidth="1"/>
    <col min="14594" max="14595" width="27.7109375" style="9" bestFit="1" customWidth="1"/>
    <col min="14596" max="14596" width="13.85546875" style="9" bestFit="1" customWidth="1"/>
    <col min="14597" max="14597" width="9.7109375" style="9" bestFit="1" customWidth="1"/>
    <col min="14598" max="14599" width="13.85546875" style="9" bestFit="1" customWidth="1"/>
    <col min="14600" max="14600" width="22.28515625" style="9" bestFit="1" customWidth="1"/>
    <col min="14601" max="14601" width="18.140625" style="9" bestFit="1" customWidth="1"/>
    <col min="14602" max="14848" width="8.85546875" style="9"/>
    <col min="14849" max="14849" width="16.7109375" style="9" bestFit="1" customWidth="1"/>
    <col min="14850" max="14851" width="27.7109375" style="9" bestFit="1" customWidth="1"/>
    <col min="14852" max="14852" width="13.85546875" style="9" bestFit="1" customWidth="1"/>
    <col min="14853" max="14853" width="9.7109375" style="9" bestFit="1" customWidth="1"/>
    <col min="14854" max="14855" width="13.85546875" style="9" bestFit="1" customWidth="1"/>
    <col min="14856" max="14856" width="22.28515625" style="9" bestFit="1" customWidth="1"/>
    <col min="14857" max="14857" width="18.140625" style="9" bestFit="1" customWidth="1"/>
    <col min="14858" max="15104" width="8.85546875" style="9"/>
    <col min="15105" max="15105" width="16.7109375" style="9" bestFit="1" customWidth="1"/>
    <col min="15106" max="15107" width="27.7109375" style="9" bestFit="1" customWidth="1"/>
    <col min="15108" max="15108" width="13.85546875" style="9" bestFit="1" customWidth="1"/>
    <col min="15109" max="15109" width="9.7109375" style="9" bestFit="1" customWidth="1"/>
    <col min="15110" max="15111" width="13.85546875" style="9" bestFit="1" customWidth="1"/>
    <col min="15112" max="15112" width="22.28515625" style="9" bestFit="1" customWidth="1"/>
    <col min="15113" max="15113" width="18.140625" style="9" bestFit="1" customWidth="1"/>
    <col min="15114" max="15360" width="8.85546875" style="9"/>
    <col min="15361" max="15361" width="16.7109375" style="9" bestFit="1" customWidth="1"/>
    <col min="15362" max="15363" width="27.7109375" style="9" bestFit="1" customWidth="1"/>
    <col min="15364" max="15364" width="13.85546875" style="9" bestFit="1" customWidth="1"/>
    <col min="15365" max="15365" width="9.7109375" style="9" bestFit="1" customWidth="1"/>
    <col min="15366" max="15367" width="13.85546875" style="9" bestFit="1" customWidth="1"/>
    <col min="15368" max="15368" width="22.28515625" style="9" bestFit="1" customWidth="1"/>
    <col min="15369" max="15369" width="18.140625" style="9" bestFit="1" customWidth="1"/>
    <col min="15370" max="15616" width="8.85546875" style="9"/>
    <col min="15617" max="15617" width="16.7109375" style="9" bestFit="1" customWidth="1"/>
    <col min="15618" max="15619" width="27.7109375" style="9" bestFit="1" customWidth="1"/>
    <col min="15620" max="15620" width="13.85546875" style="9" bestFit="1" customWidth="1"/>
    <col min="15621" max="15621" width="9.7109375" style="9" bestFit="1" customWidth="1"/>
    <col min="15622" max="15623" width="13.85546875" style="9" bestFit="1" customWidth="1"/>
    <col min="15624" max="15624" width="22.28515625" style="9" bestFit="1" customWidth="1"/>
    <col min="15625" max="15625" width="18.140625" style="9" bestFit="1" customWidth="1"/>
    <col min="15626" max="15872" width="8.85546875" style="9"/>
    <col min="15873" max="15873" width="16.7109375" style="9" bestFit="1" customWidth="1"/>
    <col min="15874" max="15875" width="27.7109375" style="9" bestFit="1" customWidth="1"/>
    <col min="15876" max="15876" width="13.85546875" style="9" bestFit="1" customWidth="1"/>
    <col min="15877" max="15877" width="9.7109375" style="9" bestFit="1" customWidth="1"/>
    <col min="15878" max="15879" width="13.85546875" style="9" bestFit="1" customWidth="1"/>
    <col min="15880" max="15880" width="22.28515625" style="9" bestFit="1" customWidth="1"/>
    <col min="15881" max="15881" width="18.140625" style="9" bestFit="1" customWidth="1"/>
    <col min="15882" max="16128" width="8.85546875" style="9"/>
    <col min="16129" max="16129" width="16.7109375" style="9" bestFit="1" customWidth="1"/>
    <col min="16130" max="16131" width="27.7109375" style="9" bestFit="1" customWidth="1"/>
    <col min="16132" max="16132" width="13.85546875" style="9" bestFit="1" customWidth="1"/>
    <col min="16133" max="16133" width="9.7109375" style="9" bestFit="1" customWidth="1"/>
    <col min="16134" max="16135" width="13.85546875" style="9" bestFit="1" customWidth="1"/>
    <col min="16136" max="16136" width="22.28515625" style="9" bestFit="1" customWidth="1"/>
    <col min="16137" max="16137" width="18.140625" style="9" bestFit="1" customWidth="1"/>
    <col min="16138" max="16384" width="8.85546875" style="9"/>
  </cols>
  <sheetData>
    <row r="1" spans="1:9" ht="16.149999999999999" customHeight="1">
      <c r="A1" s="238" t="s">
        <v>222</v>
      </c>
      <c r="B1" s="238"/>
      <c r="C1" s="238"/>
      <c r="D1" s="238"/>
      <c r="E1" s="238"/>
      <c r="F1" s="238"/>
      <c r="G1" s="238"/>
      <c r="H1" s="238"/>
      <c r="I1" s="238"/>
    </row>
    <row r="2" spans="1:9" ht="18" customHeight="1">
      <c r="A2" s="243" t="s">
        <v>223</v>
      </c>
      <c r="B2" s="243"/>
      <c r="C2" s="243"/>
      <c r="D2" s="243"/>
      <c r="E2" s="243"/>
      <c r="F2" s="243"/>
      <c r="G2" s="243"/>
      <c r="H2" s="243"/>
      <c r="I2" s="243"/>
    </row>
    <row r="3" spans="1:9" ht="13.9" customHeight="1">
      <c r="A3" s="10"/>
    </row>
    <row r="4" spans="1:9" ht="13.9" customHeight="1">
      <c r="A4" s="11" t="s">
        <v>107</v>
      </c>
      <c r="B4" s="239" t="s">
        <v>108</v>
      </c>
      <c r="C4" s="240"/>
      <c r="D4" s="239" t="s">
        <v>109</v>
      </c>
      <c r="E4" s="240"/>
      <c r="F4" s="239" t="s">
        <v>118</v>
      </c>
      <c r="G4" s="241"/>
      <c r="H4" s="241"/>
      <c r="I4" s="240"/>
    </row>
    <row r="5" spans="1:9" ht="13.9" customHeight="1">
      <c r="A5" s="11" t="s">
        <v>111</v>
      </c>
      <c r="B5" s="11" t="s">
        <v>113</v>
      </c>
      <c r="C5" s="11" t="s">
        <v>224</v>
      </c>
      <c r="D5" s="11" t="s">
        <v>114</v>
      </c>
      <c r="E5" s="11" t="s">
        <v>115</v>
      </c>
      <c r="F5" s="11" t="s">
        <v>116</v>
      </c>
      <c r="G5" s="11" t="s">
        <v>117</v>
      </c>
      <c r="H5" s="11" t="s">
        <v>118</v>
      </c>
      <c r="I5" s="11" t="s">
        <v>119</v>
      </c>
    </row>
    <row r="6" spans="1:9" ht="16.149999999999999" customHeight="1">
      <c r="A6" s="12" t="s">
        <v>120</v>
      </c>
      <c r="B6" s="13">
        <v>190524</v>
      </c>
      <c r="C6" s="13">
        <v>206579</v>
      </c>
      <c r="D6" s="13">
        <v>16055</v>
      </c>
      <c r="E6" s="13">
        <v>8.4</v>
      </c>
      <c r="F6" s="13">
        <v>16155</v>
      </c>
      <c r="G6" s="13">
        <v>16734</v>
      </c>
      <c r="H6" s="13">
        <v>-579</v>
      </c>
      <c r="I6" s="13">
        <v>16634</v>
      </c>
    </row>
    <row r="7" spans="1:9" ht="16.149999999999999" customHeight="1">
      <c r="A7" s="12" t="s">
        <v>121</v>
      </c>
      <c r="B7" s="13">
        <v>39822</v>
      </c>
      <c r="C7" s="13">
        <v>40169</v>
      </c>
      <c r="D7" s="13">
        <v>347</v>
      </c>
      <c r="E7" s="13">
        <v>0.9</v>
      </c>
      <c r="F7" s="13">
        <v>2937</v>
      </c>
      <c r="G7" s="13">
        <v>4105</v>
      </c>
      <c r="H7" s="13">
        <v>-1168</v>
      </c>
      <c r="I7" s="13">
        <v>1515</v>
      </c>
    </row>
    <row r="8" spans="1:9" ht="16.149999999999999" customHeight="1">
      <c r="A8" s="12" t="s">
        <v>122</v>
      </c>
      <c r="B8" s="13">
        <v>11634</v>
      </c>
      <c r="C8" s="13">
        <v>11854</v>
      </c>
      <c r="D8" s="13">
        <v>220</v>
      </c>
      <c r="E8" s="13">
        <v>1.9</v>
      </c>
      <c r="F8" s="13">
        <v>885</v>
      </c>
      <c r="G8" s="13">
        <v>1252</v>
      </c>
      <c r="H8" s="13">
        <v>-367</v>
      </c>
      <c r="I8" s="13">
        <v>587</v>
      </c>
    </row>
    <row r="9" spans="1:9" ht="16.149999999999999" customHeight="1">
      <c r="A9" s="12" t="s">
        <v>123</v>
      </c>
      <c r="B9" s="13">
        <v>25627</v>
      </c>
      <c r="C9" s="13">
        <v>25627</v>
      </c>
      <c r="D9" s="13">
        <v>0</v>
      </c>
      <c r="E9" s="13">
        <v>0</v>
      </c>
      <c r="F9" s="13">
        <v>1594</v>
      </c>
      <c r="G9" s="13">
        <v>2593</v>
      </c>
      <c r="H9" s="13">
        <v>-999</v>
      </c>
      <c r="I9" s="13">
        <v>999</v>
      </c>
    </row>
    <row r="10" spans="1:9" ht="16.149999999999999" customHeight="1">
      <c r="A10" s="12" t="s">
        <v>124</v>
      </c>
      <c r="B10" s="13">
        <v>26853</v>
      </c>
      <c r="C10" s="13">
        <v>26633</v>
      </c>
      <c r="D10" s="13">
        <v>-220</v>
      </c>
      <c r="E10" s="13">
        <v>-0.8</v>
      </c>
      <c r="F10" s="13">
        <v>1765</v>
      </c>
      <c r="G10" s="13">
        <v>3111</v>
      </c>
      <c r="H10" s="13">
        <v>-1346</v>
      </c>
      <c r="I10" s="13">
        <v>1126</v>
      </c>
    </row>
    <row r="11" spans="1:9" ht="16.149999999999999" customHeight="1">
      <c r="A11" s="12" t="s">
        <v>125</v>
      </c>
      <c r="B11" s="13">
        <v>18083</v>
      </c>
      <c r="C11" s="13">
        <v>18083</v>
      </c>
      <c r="D11" s="13">
        <v>0</v>
      </c>
      <c r="E11" s="13">
        <v>0</v>
      </c>
      <c r="F11" s="13">
        <v>977</v>
      </c>
      <c r="G11" s="13">
        <v>1890</v>
      </c>
      <c r="H11" s="13">
        <v>-913</v>
      </c>
      <c r="I11" s="13">
        <v>913</v>
      </c>
    </row>
    <row r="12" spans="1:9" ht="16.149999999999999" customHeight="1">
      <c r="A12" s="12" t="s">
        <v>126</v>
      </c>
      <c r="B12" s="13">
        <v>46380</v>
      </c>
      <c r="C12" s="13">
        <v>45755</v>
      </c>
      <c r="D12" s="13">
        <v>-625</v>
      </c>
      <c r="E12" s="13">
        <v>-1.3</v>
      </c>
      <c r="F12" s="13">
        <v>3269</v>
      </c>
      <c r="G12" s="13">
        <v>5421</v>
      </c>
      <c r="H12" s="13">
        <v>-2152</v>
      </c>
      <c r="I12" s="13">
        <v>1527</v>
      </c>
    </row>
    <row r="13" spans="1:9" ht="16.149999999999999" customHeight="1">
      <c r="A13" s="12" t="s">
        <v>127</v>
      </c>
      <c r="B13" s="13">
        <v>19832</v>
      </c>
      <c r="C13" s="13">
        <v>19833</v>
      </c>
      <c r="D13" s="13">
        <v>1</v>
      </c>
      <c r="E13" s="13">
        <v>0</v>
      </c>
      <c r="F13" s="13">
        <v>1232</v>
      </c>
      <c r="G13" s="13">
        <v>2046</v>
      </c>
      <c r="H13" s="13">
        <v>-814</v>
      </c>
      <c r="I13" s="13">
        <v>815</v>
      </c>
    </row>
    <row r="14" spans="1:9" ht="16.149999999999999" customHeight="1">
      <c r="A14" s="12" t="s">
        <v>128</v>
      </c>
      <c r="B14" s="13">
        <v>30842</v>
      </c>
      <c r="C14" s="13">
        <v>28927</v>
      </c>
      <c r="D14" s="13">
        <v>-1915</v>
      </c>
      <c r="E14" s="13">
        <v>-6.2</v>
      </c>
      <c r="F14" s="13">
        <v>2407</v>
      </c>
      <c r="G14" s="13">
        <v>3031</v>
      </c>
      <c r="H14" s="13">
        <v>-624</v>
      </c>
      <c r="I14" s="13">
        <v>-1291</v>
      </c>
    </row>
    <row r="15" spans="1:9" ht="16.149999999999999" customHeight="1">
      <c r="A15" s="12" t="s">
        <v>129</v>
      </c>
      <c r="B15" s="13">
        <v>171805</v>
      </c>
      <c r="C15" s="13">
        <v>193003</v>
      </c>
      <c r="D15" s="13">
        <v>21198</v>
      </c>
      <c r="E15" s="13">
        <v>12.3</v>
      </c>
      <c r="F15" s="13">
        <v>9801</v>
      </c>
      <c r="G15" s="13">
        <v>21333</v>
      </c>
      <c r="H15" s="13">
        <v>-11532</v>
      </c>
      <c r="I15" s="13">
        <v>32730</v>
      </c>
    </row>
    <row r="16" spans="1:9" ht="16.149999999999999" customHeight="1">
      <c r="A16" s="12" t="s">
        <v>130</v>
      </c>
      <c r="B16" s="13">
        <v>302284</v>
      </c>
      <c r="C16" s="13">
        <v>324227</v>
      </c>
      <c r="D16" s="13">
        <v>21943</v>
      </c>
      <c r="E16" s="13">
        <v>7.3</v>
      </c>
      <c r="F16" s="13">
        <v>20298</v>
      </c>
      <c r="G16" s="13">
        <v>27110</v>
      </c>
      <c r="H16" s="13">
        <v>-6812</v>
      </c>
      <c r="I16" s="13">
        <v>28755</v>
      </c>
    </row>
    <row r="17" spans="1:9" ht="16.149999999999999" customHeight="1">
      <c r="A17" s="12" t="s">
        <v>131</v>
      </c>
      <c r="B17" s="13">
        <v>96288</v>
      </c>
      <c r="C17" s="13">
        <v>99452</v>
      </c>
      <c r="D17" s="13">
        <v>3164</v>
      </c>
      <c r="E17" s="13">
        <v>3.3</v>
      </c>
      <c r="F17" s="13">
        <v>6972</v>
      </c>
      <c r="G17" s="13">
        <v>9746</v>
      </c>
      <c r="H17" s="13">
        <v>-2774</v>
      </c>
      <c r="I17" s="13">
        <v>5938</v>
      </c>
    </row>
    <row r="18" spans="1:9" ht="16.149999999999999" customHeight="1">
      <c r="A18" s="12" t="s">
        <v>132</v>
      </c>
      <c r="B18" s="13">
        <v>258327</v>
      </c>
      <c r="C18" s="13">
        <v>287040</v>
      </c>
      <c r="D18" s="13">
        <v>28713</v>
      </c>
      <c r="E18" s="13">
        <v>11.1</v>
      </c>
      <c r="F18" s="13">
        <v>24924</v>
      </c>
      <c r="G18" s="13">
        <v>18788</v>
      </c>
      <c r="H18" s="13">
        <v>6136</v>
      </c>
      <c r="I18" s="13">
        <v>22577</v>
      </c>
    </row>
    <row r="19" spans="1:9" ht="16.149999999999999" customHeight="1">
      <c r="A19" s="12" t="s">
        <v>133</v>
      </c>
      <c r="B19" s="13">
        <v>89689</v>
      </c>
      <c r="C19" s="13">
        <v>92870</v>
      </c>
      <c r="D19" s="13">
        <v>3181</v>
      </c>
      <c r="E19" s="13">
        <v>3.5</v>
      </c>
      <c r="F19" s="13">
        <v>6630</v>
      </c>
      <c r="G19" s="13">
        <v>9143</v>
      </c>
      <c r="H19" s="13">
        <v>-2513</v>
      </c>
      <c r="I19" s="13">
        <v>5694</v>
      </c>
    </row>
    <row r="20" spans="1:9" ht="16.149999999999999" customHeight="1">
      <c r="A20" s="12" t="s">
        <v>134</v>
      </c>
      <c r="B20" s="13">
        <v>10672</v>
      </c>
      <c r="C20" s="13">
        <v>10695</v>
      </c>
      <c r="D20" s="13">
        <v>23</v>
      </c>
      <c r="E20" s="13">
        <v>0.2</v>
      </c>
      <c r="F20" s="13">
        <v>749</v>
      </c>
      <c r="G20" s="13">
        <v>921</v>
      </c>
      <c r="H20" s="13">
        <v>-172</v>
      </c>
      <c r="I20" s="13">
        <v>195</v>
      </c>
    </row>
    <row r="21" spans="1:9" ht="16.149999999999999" customHeight="1">
      <c r="A21" s="12" t="s">
        <v>135</v>
      </c>
      <c r="B21" s="13">
        <v>77380</v>
      </c>
      <c r="C21" s="13">
        <v>81423</v>
      </c>
      <c r="D21" s="13">
        <v>4043</v>
      </c>
      <c r="E21" s="13">
        <v>5.2</v>
      </c>
      <c r="F21" s="13">
        <v>4741</v>
      </c>
      <c r="G21" s="13">
        <v>8425</v>
      </c>
      <c r="H21" s="13">
        <v>-3684</v>
      </c>
      <c r="I21" s="13">
        <v>7727</v>
      </c>
    </row>
    <row r="22" spans="1:9" ht="16.149999999999999" customHeight="1">
      <c r="A22" s="12" t="s">
        <v>136</v>
      </c>
      <c r="B22" s="13">
        <v>23695</v>
      </c>
      <c r="C22" s="13">
        <v>23695</v>
      </c>
      <c r="D22" s="13">
        <v>0</v>
      </c>
      <c r="E22" s="13">
        <v>0</v>
      </c>
      <c r="F22" s="13">
        <v>1520</v>
      </c>
      <c r="G22" s="13">
        <v>2610</v>
      </c>
      <c r="H22" s="13">
        <v>-1090</v>
      </c>
      <c r="I22" s="13">
        <v>1090</v>
      </c>
    </row>
    <row r="23" spans="1:9" ht="16.149999999999999" customHeight="1">
      <c r="A23" s="12" t="s">
        <v>137</v>
      </c>
      <c r="B23" s="13">
        <v>163123</v>
      </c>
      <c r="C23" s="13">
        <v>166447</v>
      </c>
      <c r="D23" s="13">
        <v>3324</v>
      </c>
      <c r="E23" s="13">
        <v>2</v>
      </c>
      <c r="F23" s="13">
        <v>13756</v>
      </c>
      <c r="G23" s="13">
        <v>15513</v>
      </c>
      <c r="H23" s="13">
        <v>-1757</v>
      </c>
      <c r="I23" s="13">
        <v>5081</v>
      </c>
    </row>
    <row r="24" spans="1:9" ht="16.149999999999999" customHeight="1">
      <c r="A24" s="12" t="s">
        <v>138</v>
      </c>
      <c r="B24" s="13">
        <v>94966</v>
      </c>
      <c r="C24" s="13">
        <v>105805</v>
      </c>
      <c r="D24" s="13">
        <v>10839</v>
      </c>
      <c r="E24" s="13">
        <v>11.4</v>
      </c>
      <c r="F24" s="13">
        <v>6342</v>
      </c>
      <c r="G24" s="13">
        <v>10109</v>
      </c>
      <c r="H24" s="13">
        <v>-3767</v>
      </c>
      <c r="I24" s="13">
        <v>14606</v>
      </c>
    </row>
    <row r="25" spans="1:9" ht="16.149999999999999" customHeight="1">
      <c r="A25" s="12" t="s">
        <v>139</v>
      </c>
      <c r="B25" s="13">
        <v>34330</v>
      </c>
      <c r="C25" s="13">
        <v>35411</v>
      </c>
      <c r="D25" s="13">
        <v>1081</v>
      </c>
      <c r="E25" s="13">
        <v>3.1</v>
      </c>
      <c r="F25" s="13">
        <v>2067</v>
      </c>
      <c r="G25" s="13">
        <v>4280</v>
      </c>
      <c r="H25" s="13">
        <v>-2213</v>
      </c>
      <c r="I25" s="13">
        <v>3294</v>
      </c>
    </row>
    <row r="26" spans="1:9" ht="16.149999999999999" customHeight="1">
      <c r="A26" s="12" t="s">
        <v>140</v>
      </c>
      <c r="B26" s="13">
        <v>12778</v>
      </c>
      <c r="C26" s="13">
        <v>11962</v>
      </c>
      <c r="D26" s="13">
        <v>-816</v>
      </c>
      <c r="E26" s="13">
        <v>-6.4</v>
      </c>
      <c r="F26" s="13">
        <v>943</v>
      </c>
      <c r="G26" s="13">
        <v>1386</v>
      </c>
      <c r="H26" s="13">
        <v>-443</v>
      </c>
      <c r="I26" s="13">
        <v>-373</v>
      </c>
    </row>
    <row r="27" spans="1:9" ht="16.149999999999999" customHeight="1">
      <c r="A27" s="12" t="s">
        <v>141</v>
      </c>
      <c r="B27" s="13">
        <v>13650</v>
      </c>
      <c r="C27" s="13">
        <v>14812</v>
      </c>
      <c r="D27" s="13">
        <v>1162</v>
      </c>
      <c r="E27" s="13">
        <v>8.5</v>
      </c>
      <c r="F27" s="13">
        <v>825</v>
      </c>
      <c r="G27" s="13">
        <v>1624</v>
      </c>
      <c r="H27" s="13">
        <v>-799</v>
      </c>
      <c r="I27" s="13">
        <v>1961</v>
      </c>
    </row>
    <row r="28" spans="1:9" ht="16.149999999999999" customHeight="1">
      <c r="A28" s="12" t="s">
        <v>142</v>
      </c>
      <c r="B28" s="13">
        <v>100067</v>
      </c>
      <c r="C28" s="13">
        <v>100170</v>
      </c>
      <c r="D28" s="13">
        <v>103</v>
      </c>
      <c r="E28" s="13">
        <v>0.1</v>
      </c>
      <c r="F28" s="13">
        <v>7931</v>
      </c>
      <c r="G28" s="13">
        <v>10357</v>
      </c>
      <c r="H28" s="13">
        <v>-2426</v>
      </c>
      <c r="I28" s="13">
        <v>2529</v>
      </c>
    </row>
    <row r="29" spans="1:9" ht="16.149999999999999" customHeight="1">
      <c r="A29" s="12" t="s">
        <v>143</v>
      </c>
      <c r="B29" s="13">
        <v>56904</v>
      </c>
      <c r="C29" s="13">
        <v>56904</v>
      </c>
      <c r="D29" s="13">
        <v>0</v>
      </c>
      <c r="E29" s="13">
        <v>0</v>
      </c>
      <c r="F29" s="13">
        <v>4500</v>
      </c>
      <c r="G29" s="13">
        <v>5880</v>
      </c>
      <c r="H29" s="13">
        <v>-1380</v>
      </c>
      <c r="I29" s="13">
        <v>1380</v>
      </c>
    </row>
    <row r="30" spans="1:9" ht="16.149999999999999" customHeight="1">
      <c r="A30" s="12" t="s">
        <v>144</v>
      </c>
      <c r="B30" s="13">
        <v>104085</v>
      </c>
      <c r="C30" s="13">
        <v>104109</v>
      </c>
      <c r="D30" s="13">
        <v>24</v>
      </c>
      <c r="E30" s="13">
        <v>0</v>
      </c>
      <c r="F30" s="13">
        <v>10782</v>
      </c>
      <c r="G30" s="13">
        <v>8012</v>
      </c>
      <c r="H30" s="13">
        <v>2770</v>
      </c>
      <c r="I30" s="13">
        <v>-2746</v>
      </c>
    </row>
    <row r="31" spans="1:9" ht="16.149999999999999" customHeight="1">
      <c r="A31" s="12" t="s">
        <v>145</v>
      </c>
      <c r="B31" s="13">
        <v>329760</v>
      </c>
      <c r="C31" s="13">
        <v>329764</v>
      </c>
      <c r="D31" s="13">
        <v>4</v>
      </c>
      <c r="E31" s="13">
        <v>0</v>
      </c>
      <c r="F31" s="13">
        <v>29131</v>
      </c>
      <c r="G31" s="13">
        <v>23693</v>
      </c>
      <c r="H31" s="13">
        <v>5438</v>
      </c>
      <c r="I31" s="13">
        <v>-5434</v>
      </c>
    </row>
    <row r="32" spans="1:9" ht="16.149999999999999" customHeight="1">
      <c r="A32" s="12" t="s">
        <v>146</v>
      </c>
      <c r="B32" s="13">
        <v>33158</v>
      </c>
      <c r="C32" s="13">
        <v>36687</v>
      </c>
      <c r="D32" s="13">
        <v>3529</v>
      </c>
      <c r="E32" s="13">
        <v>10.6</v>
      </c>
      <c r="F32" s="13">
        <v>2479</v>
      </c>
      <c r="G32" s="13">
        <v>2931</v>
      </c>
      <c r="H32" s="13">
        <v>-452</v>
      </c>
      <c r="I32" s="13">
        <v>3981</v>
      </c>
    </row>
    <row r="33" spans="1:9" ht="16.149999999999999" customHeight="1">
      <c r="A33" s="12" t="s">
        <v>147</v>
      </c>
      <c r="B33" s="13">
        <v>40069</v>
      </c>
      <c r="C33" s="13">
        <v>40885</v>
      </c>
      <c r="D33" s="13">
        <v>816</v>
      </c>
      <c r="E33" s="13">
        <v>2</v>
      </c>
      <c r="F33" s="13">
        <v>2775</v>
      </c>
      <c r="G33" s="13">
        <v>3842</v>
      </c>
      <c r="H33" s="13">
        <v>-1067</v>
      </c>
      <c r="I33" s="13">
        <v>1883</v>
      </c>
    </row>
    <row r="34" spans="1:9" ht="16.149999999999999" customHeight="1">
      <c r="A34" s="12" t="s">
        <v>148</v>
      </c>
      <c r="B34" s="13">
        <v>180032</v>
      </c>
      <c r="C34" s="13">
        <v>186986</v>
      </c>
      <c r="D34" s="13">
        <v>6954</v>
      </c>
      <c r="E34" s="13">
        <v>3.9</v>
      </c>
      <c r="F34" s="13">
        <v>14329</v>
      </c>
      <c r="G34" s="13">
        <v>17150</v>
      </c>
      <c r="H34" s="13">
        <v>-2821</v>
      </c>
      <c r="I34" s="13">
        <v>9775</v>
      </c>
    </row>
    <row r="35" spans="1:9" ht="16.149999999999999" customHeight="1">
      <c r="A35" s="12" t="s">
        <v>149</v>
      </c>
      <c r="B35" s="13">
        <v>49459</v>
      </c>
      <c r="C35" s="13">
        <v>53084</v>
      </c>
      <c r="D35" s="13">
        <v>3625</v>
      </c>
      <c r="E35" s="13">
        <v>7.3</v>
      </c>
      <c r="F35" s="13">
        <v>3622</v>
      </c>
      <c r="G35" s="13">
        <v>4967</v>
      </c>
      <c r="H35" s="13">
        <v>-1345</v>
      </c>
      <c r="I35" s="13">
        <v>4970</v>
      </c>
    </row>
    <row r="36" spans="1:9" ht="16.149999999999999" customHeight="1">
      <c r="A36" s="12" t="s">
        <v>150</v>
      </c>
      <c r="B36" s="13">
        <v>58865</v>
      </c>
      <c r="C36" s="13">
        <v>58661</v>
      </c>
      <c r="D36" s="13">
        <v>-204</v>
      </c>
      <c r="E36" s="13">
        <v>-0.3</v>
      </c>
      <c r="F36" s="13">
        <v>5702</v>
      </c>
      <c r="G36" s="13">
        <v>4629</v>
      </c>
      <c r="H36" s="13">
        <v>1073</v>
      </c>
      <c r="I36" s="13">
        <v>-1277</v>
      </c>
    </row>
    <row r="37" spans="1:9" ht="16.149999999999999" customHeight="1">
      <c r="A37" s="12" t="s">
        <v>151</v>
      </c>
      <c r="B37" s="13">
        <v>366803</v>
      </c>
      <c r="C37" s="13">
        <v>399445</v>
      </c>
      <c r="D37" s="13">
        <v>32642</v>
      </c>
      <c r="E37" s="13">
        <v>8.9</v>
      </c>
      <c r="F37" s="13">
        <v>38119</v>
      </c>
      <c r="G37" s="13">
        <v>22721</v>
      </c>
      <c r="H37" s="13">
        <v>15398</v>
      </c>
      <c r="I37" s="13">
        <v>17244</v>
      </c>
    </row>
    <row r="38" spans="1:9" ht="16.149999999999999" customHeight="1">
      <c r="A38" s="12" t="s">
        <v>152</v>
      </c>
      <c r="B38" s="13">
        <v>43645</v>
      </c>
      <c r="C38" s="13">
        <v>38681</v>
      </c>
      <c r="D38" s="13">
        <v>-4964</v>
      </c>
      <c r="E38" s="13">
        <v>-11.4</v>
      </c>
      <c r="F38" s="13">
        <v>2768</v>
      </c>
      <c r="G38" s="13">
        <v>5051</v>
      </c>
      <c r="H38" s="13">
        <v>-2283</v>
      </c>
      <c r="I38" s="13">
        <v>-2681</v>
      </c>
    </row>
    <row r="39" spans="1:9" ht="16.149999999999999" customHeight="1">
      <c r="A39" s="12" t="s">
        <v>153</v>
      </c>
      <c r="B39" s="13">
        <v>423244</v>
      </c>
      <c r="C39" s="13">
        <v>450938</v>
      </c>
      <c r="D39" s="13">
        <v>27694</v>
      </c>
      <c r="E39" s="13">
        <v>6.5</v>
      </c>
      <c r="F39" s="13">
        <v>38648</v>
      </c>
      <c r="G39" s="13">
        <v>32927</v>
      </c>
      <c r="H39" s="13">
        <v>5721</v>
      </c>
      <c r="I39" s="13">
        <v>21973</v>
      </c>
    </row>
    <row r="40" spans="1:9" ht="16.149999999999999" customHeight="1">
      <c r="A40" s="12" t="s">
        <v>154</v>
      </c>
      <c r="B40" s="13">
        <v>80427</v>
      </c>
      <c r="C40" s="13">
        <v>87917</v>
      </c>
      <c r="D40" s="13">
        <v>7490</v>
      </c>
      <c r="E40" s="13">
        <v>9.3000000000000007</v>
      </c>
      <c r="F40" s="13">
        <v>6423</v>
      </c>
      <c r="G40" s="13">
        <v>7224</v>
      </c>
      <c r="H40" s="13">
        <v>-801</v>
      </c>
      <c r="I40" s="13">
        <v>8291</v>
      </c>
    </row>
    <row r="41" spans="1:9" ht="16.149999999999999" customHeight="1">
      <c r="A41" s="12" t="s">
        <v>155</v>
      </c>
      <c r="B41" s="13">
        <v>240357</v>
      </c>
      <c r="C41" s="13">
        <v>252388</v>
      </c>
      <c r="D41" s="13">
        <v>12031</v>
      </c>
      <c r="E41" s="13">
        <v>5</v>
      </c>
      <c r="F41" s="13">
        <v>20005</v>
      </c>
      <c r="G41" s="13">
        <v>21706</v>
      </c>
      <c r="H41" s="13">
        <v>-1701</v>
      </c>
      <c r="I41" s="13">
        <v>13732</v>
      </c>
    </row>
    <row r="42" spans="1:9" ht="16.149999999999999" customHeight="1">
      <c r="A42" s="12" t="s">
        <v>156</v>
      </c>
      <c r="B42" s="13">
        <v>12096</v>
      </c>
      <c r="C42" s="13">
        <v>12097</v>
      </c>
      <c r="D42" s="13">
        <v>1</v>
      </c>
      <c r="E42" s="13">
        <v>0</v>
      </c>
      <c r="F42" s="13">
        <v>693</v>
      </c>
      <c r="G42" s="13">
        <v>1130</v>
      </c>
      <c r="H42" s="13">
        <v>-437</v>
      </c>
      <c r="I42" s="13">
        <v>438</v>
      </c>
    </row>
    <row r="43" spans="1:9" ht="16.149999999999999" customHeight="1">
      <c r="A43" s="12" t="s">
        <v>157</v>
      </c>
      <c r="B43" s="13">
        <v>8948</v>
      </c>
      <c r="C43" s="13">
        <v>8952</v>
      </c>
      <c r="D43" s="13">
        <v>4</v>
      </c>
      <c r="E43" s="13">
        <v>0</v>
      </c>
      <c r="F43" s="13">
        <v>653</v>
      </c>
      <c r="G43" s="13">
        <v>944</v>
      </c>
      <c r="H43" s="13">
        <v>-291</v>
      </c>
      <c r="I43" s="13">
        <v>295</v>
      </c>
    </row>
    <row r="44" spans="1:9" ht="16.149999999999999" customHeight="1">
      <c r="A44" s="12" t="s">
        <v>158</v>
      </c>
      <c r="B44" s="13">
        <v>67621</v>
      </c>
      <c r="C44" s="13">
        <v>71739</v>
      </c>
      <c r="D44" s="13">
        <v>4118</v>
      </c>
      <c r="E44" s="13">
        <v>6.1</v>
      </c>
      <c r="F44" s="13">
        <v>4636</v>
      </c>
      <c r="G44" s="13">
        <v>6126</v>
      </c>
      <c r="H44" s="13">
        <v>-1490</v>
      </c>
      <c r="I44" s="13">
        <v>5608</v>
      </c>
    </row>
    <row r="45" spans="1:9" ht="16.149999999999999" customHeight="1">
      <c r="A45" s="12" t="s">
        <v>159</v>
      </c>
      <c r="B45" s="13">
        <v>21521</v>
      </c>
      <c r="C45" s="13">
        <v>21519</v>
      </c>
      <c r="D45" s="13">
        <v>-2</v>
      </c>
      <c r="E45" s="13">
        <v>0</v>
      </c>
      <c r="F45" s="13">
        <v>1640</v>
      </c>
      <c r="G45" s="13">
        <v>1913</v>
      </c>
      <c r="H45" s="13">
        <v>-273</v>
      </c>
      <c r="I45" s="13">
        <v>271</v>
      </c>
    </row>
    <row r="46" spans="1:9" ht="16.149999999999999" customHeight="1">
      <c r="A46" s="12" t="s">
        <v>160</v>
      </c>
      <c r="B46" s="13">
        <v>572478</v>
      </c>
      <c r="C46" s="13">
        <v>598603</v>
      </c>
      <c r="D46" s="13">
        <v>26125</v>
      </c>
      <c r="E46" s="13">
        <v>4.5999999999999996</v>
      </c>
      <c r="F46" s="13">
        <v>47012</v>
      </c>
      <c r="G46" s="13">
        <v>43338</v>
      </c>
      <c r="H46" s="13">
        <v>3674</v>
      </c>
      <c r="I46" s="13">
        <v>22451</v>
      </c>
    </row>
    <row r="47" spans="1:9" ht="16.149999999999999" customHeight="1">
      <c r="A47" s="12" t="s">
        <v>161</v>
      </c>
      <c r="B47" s="13">
        <v>47333</v>
      </c>
      <c r="C47" s="13">
        <v>44918</v>
      </c>
      <c r="D47" s="13">
        <v>-2415</v>
      </c>
      <c r="E47" s="13">
        <v>-5.0999999999999996</v>
      </c>
      <c r="F47" s="13">
        <v>3537</v>
      </c>
      <c r="G47" s="13">
        <v>5130</v>
      </c>
      <c r="H47" s="13">
        <v>-1593</v>
      </c>
      <c r="I47" s="13">
        <v>-822</v>
      </c>
    </row>
    <row r="48" spans="1:9" ht="16.149999999999999" customHeight="1">
      <c r="A48" s="12" t="s">
        <v>162</v>
      </c>
      <c r="B48" s="13">
        <v>159684</v>
      </c>
      <c r="C48" s="13">
        <v>175210</v>
      </c>
      <c r="D48" s="13">
        <v>15526</v>
      </c>
      <c r="E48" s="13">
        <v>9.6999999999999993</v>
      </c>
      <c r="F48" s="13">
        <v>15984</v>
      </c>
      <c r="G48" s="13">
        <v>10986</v>
      </c>
      <c r="H48" s="13">
        <v>4998</v>
      </c>
      <c r="I48" s="13">
        <v>10528</v>
      </c>
    </row>
    <row r="49" spans="1:9" ht="16.149999999999999" customHeight="1">
      <c r="A49" s="12" t="s">
        <v>163</v>
      </c>
      <c r="B49" s="13">
        <v>68835</v>
      </c>
      <c r="C49" s="13">
        <v>72368</v>
      </c>
      <c r="D49" s="13">
        <v>3533</v>
      </c>
      <c r="E49" s="13">
        <v>5.0999999999999996</v>
      </c>
      <c r="F49" s="13">
        <v>4733</v>
      </c>
      <c r="G49" s="13">
        <v>7559</v>
      </c>
      <c r="H49" s="13">
        <v>-2826</v>
      </c>
      <c r="I49" s="13">
        <v>6359</v>
      </c>
    </row>
    <row r="50" spans="1:9" ht="16.149999999999999" customHeight="1">
      <c r="A50" s="12" t="s">
        <v>164</v>
      </c>
      <c r="B50" s="13">
        <v>134696</v>
      </c>
      <c r="C50" s="13">
        <v>141785</v>
      </c>
      <c r="D50" s="13">
        <v>7089</v>
      </c>
      <c r="E50" s="13">
        <v>5.3</v>
      </c>
      <c r="F50" s="13">
        <v>9850</v>
      </c>
      <c r="G50" s="13">
        <v>15038</v>
      </c>
      <c r="H50" s="13">
        <v>-5188</v>
      </c>
      <c r="I50" s="13">
        <v>12277</v>
      </c>
    </row>
    <row r="51" spans="1:9" ht="16.149999999999999" customHeight="1">
      <c r="A51" s="12" t="s">
        <v>165</v>
      </c>
      <c r="B51" s="13">
        <v>22759</v>
      </c>
      <c r="C51" s="13">
        <v>22116</v>
      </c>
      <c r="D51" s="13">
        <v>-643</v>
      </c>
      <c r="E51" s="13">
        <v>-2.8</v>
      </c>
      <c r="F51" s="13">
        <v>1517</v>
      </c>
      <c r="G51" s="13">
        <v>2354</v>
      </c>
      <c r="H51" s="13">
        <v>-837</v>
      </c>
      <c r="I51" s="13">
        <v>194</v>
      </c>
    </row>
    <row r="52" spans="1:9" ht="16.149999999999999" customHeight="1">
      <c r="A52" s="12" t="s">
        <v>166</v>
      </c>
      <c r="B52" s="13">
        <v>70179</v>
      </c>
      <c r="C52" s="13">
        <v>79291</v>
      </c>
      <c r="D52" s="13">
        <v>9112</v>
      </c>
      <c r="E52" s="13">
        <v>13</v>
      </c>
      <c r="F52" s="13">
        <v>8161</v>
      </c>
      <c r="G52" s="13">
        <v>4139</v>
      </c>
      <c r="H52" s="13">
        <v>4022</v>
      </c>
      <c r="I52" s="13">
        <v>5090</v>
      </c>
    </row>
    <row r="53" spans="1:9" ht="16.149999999999999" customHeight="1">
      <c r="A53" s="12" t="s">
        <v>167</v>
      </c>
      <c r="B53" s="13">
        <v>5457</v>
      </c>
      <c r="C53" s="13">
        <v>5359</v>
      </c>
      <c r="D53" s="13">
        <v>-98</v>
      </c>
      <c r="E53" s="13">
        <v>-1.8</v>
      </c>
      <c r="F53" s="13">
        <v>352</v>
      </c>
      <c r="G53" s="13">
        <v>566</v>
      </c>
      <c r="H53" s="13">
        <v>-214</v>
      </c>
      <c r="I53" s="13">
        <v>116</v>
      </c>
    </row>
    <row r="54" spans="1:9" ht="16.149999999999999" customHeight="1">
      <c r="A54" s="12" t="s">
        <v>168</v>
      </c>
      <c r="B54" s="13">
        <v>217854</v>
      </c>
      <c r="C54" s="13">
        <v>240088</v>
      </c>
      <c r="D54" s="13">
        <v>22234</v>
      </c>
      <c r="E54" s="13">
        <v>10.199999999999999</v>
      </c>
      <c r="F54" s="13">
        <v>18101</v>
      </c>
      <c r="G54" s="13">
        <v>18564</v>
      </c>
      <c r="H54" s="13">
        <v>-463</v>
      </c>
      <c r="I54" s="13">
        <v>22697</v>
      </c>
    </row>
    <row r="55" spans="1:9" ht="16.149999999999999" customHeight="1">
      <c r="A55" s="12" t="s">
        <v>169</v>
      </c>
      <c r="B55" s="13">
        <v>50191</v>
      </c>
      <c r="C55" s="13">
        <v>54005</v>
      </c>
      <c r="D55" s="13">
        <v>3814</v>
      </c>
      <c r="E55" s="13">
        <v>7.6</v>
      </c>
      <c r="F55" s="13">
        <v>3460</v>
      </c>
      <c r="G55" s="13">
        <v>4152</v>
      </c>
      <c r="H55" s="13">
        <v>-692</v>
      </c>
      <c r="I55" s="13">
        <v>4506</v>
      </c>
    </row>
    <row r="56" spans="1:9" ht="16.149999999999999" customHeight="1">
      <c r="A56" s="12" t="s">
        <v>170</v>
      </c>
      <c r="B56" s="13">
        <v>265216</v>
      </c>
      <c r="C56" s="13">
        <v>303201</v>
      </c>
      <c r="D56" s="13">
        <v>37985</v>
      </c>
      <c r="E56" s="13">
        <v>14.3</v>
      </c>
      <c r="F56" s="13">
        <v>26852</v>
      </c>
      <c r="G56" s="13">
        <v>19403</v>
      </c>
      <c r="H56" s="13">
        <v>7449</v>
      </c>
      <c r="I56" s="13">
        <v>30536</v>
      </c>
    </row>
    <row r="57" spans="1:9" ht="16.149999999999999" customHeight="1">
      <c r="A57" s="12" t="s">
        <v>171</v>
      </c>
      <c r="B57" s="13">
        <v>10356</v>
      </c>
      <c r="C57" s="13">
        <v>10355</v>
      </c>
      <c r="D57" s="13">
        <v>-1</v>
      </c>
      <c r="E57" s="13">
        <v>0</v>
      </c>
      <c r="F57" s="13">
        <v>655</v>
      </c>
      <c r="G57" s="13">
        <v>1092</v>
      </c>
      <c r="H57" s="13">
        <v>-437</v>
      </c>
      <c r="I57" s="13">
        <v>436</v>
      </c>
    </row>
    <row r="58" spans="1:9" ht="16.149999999999999" customHeight="1">
      <c r="A58" s="12" t="s">
        <v>172</v>
      </c>
      <c r="B58" s="13">
        <v>60726</v>
      </c>
      <c r="C58" s="13">
        <v>61124</v>
      </c>
      <c r="D58" s="13">
        <v>398</v>
      </c>
      <c r="E58" s="13">
        <v>0.7</v>
      </c>
      <c r="F58" s="13">
        <v>6028</v>
      </c>
      <c r="G58" s="13">
        <v>4865</v>
      </c>
      <c r="H58" s="13">
        <v>1163</v>
      </c>
      <c r="I58" s="13">
        <v>-765</v>
      </c>
    </row>
    <row r="59" spans="1:9" ht="16.149999999999999" customHeight="1">
      <c r="A59" s="12" t="s">
        <v>173</v>
      </c>
      <c r="B59" s="13">
        <v>56044</v>
      </c>
      <c r="C59" s="13">
        <v>55275</v>
      </c>
      <c r="D59" s="13">
        <v>-769</v>
      </c>
      <c r="E59" s="13">
        <v>-1.4</v>
      </c>
      <c r="F59" s="13">
        <v>4810</v>
      </c>
      <c r="G59" s="13">
        <v>5684</v>
      </c>
      <c r="H59" s="13">
        <v>-874</v>
      </c>
      <c r="I59" s="13">
        <v>105</v>
      </c>
    </row>
    <row r="60" spans="1:9" ht="16.149999999999999" customHeight="1">
      <c r="A60" s="12" t="s">
        <v>174</v>
      </c>
      <c r="B60" s="13">
        <v>99374</v>
      </c>
      <c r="C60" s="13">
        <v>107858</v>
      </c>
      <c r="D60" s="13">
        <v>8484</v>
      </c>
      <c r="E60" s="13">
        <v>8.5</v>
      </c>
      <c r="F60" s="13">
        <v>7107</v>
      </c>
      <c r="G60" s="13">
        <v>9601</v>
      </c>
      <c r="H60" s="13">
        <v>-2494</v>
      </c>
      <c r="I60" s="13">
        <v>10978</v>
      </c>
    </row>
    <row r="61" spans="1:9" ht="16.149999999999999" customHeight="1">
      <c r="A61" s="12" t="s">
        <v>175</v>
      </c>
      <c r="B61" s="13">
        <v>40193</v>
      </c>
      <c r="C61" s="13">
        <v>42766</v>
      </c>
      <c r="D61" s="13">
        <v>2573</v>
      </c>
      <c r="E61" s="13">
        <v>6.4</v>
      </c>
      <c r="F61" s="13">
        <v>3138</v>
      </c>
      <c r="G61" s="13">
        <v>4541</v>
      </c>
      <c r="H61" s="13">
        <v>-1403</v>
      </c>
      <c r="I61" s="13">
        <v>3976</v>
      </c>
    </row>
    <row r="62" spans="1:9" ht="16.149999999999999" customHeight="1">
      <c r="A62" s="12" t="s">
        <v>176</v>
      </c>
      <c r="B62" s="13">
        <v>25679</v>
      </c>
      <c r="C62" s="13">
        <v>27529</v>
      </c>
      <c r="D62" s="13">
        <v>1850</v>
      </c>
      <c r="E62" s="13">
        <v>7.2</v>
      </c>
      <c r="F62" s="13">
        <v>1694</v>
      </c>
      <c r="G62" s="13">
        <v>2647</v>
      </c>
      <c r="H62" s="13">
        <v>-953</v>
      </c>
      <c r="I62" s="13">
        <v>2803</v>
      </c>
    </row>
    <row r="63" spans="1:9" ht="16.149999999999999" customHeight="1">
      <c r="A63" s="12" t="s">
        <v>177</v>
      </c>
      <c r="B63" s="13">
        <v>22238</v>
      </c>
      <c r="C63" s="13">
        <v>21554</v>
      </c>
      <c r="D63" s="13">
        <v>-684</v>
      </c>
      <c r="E63" s="13">
        <v>-3.1</v>
      </c>
      <c r="F63" s="13">
        <v>1793</v>
      </c>
      <c r="G63" s="13">
        <v>2574</v>
      </c>
      <c r="H63" s="13">
        <v>-781</v>
      </c>
      <c r="I63" s="13">
        <v>97</v>
      </c>
    </row>
    <row r="64" spans="1:9" ht="16.149999999999999" customHeight="1">
      <c r="A64" s="12" t="s">
        <v>178</v>
      </c>
      <c r="B64" s="13">
        <v>46791</v>
      </c>
      <c r="C64" s="13">
        <v>46867</v>
      </c>
      <c r="D64" s="13">
        <v>76</v>
      </c>
      <c r="E64" s="13">
        <v>0.2</v>
      </c>
      <c r="F64" s="13">
        <v>3503</v>
      </c>
      <c r="G64" s="13">
        <v>4823</v>
      </c>
      <c r="H64" s="13">
        <v>-1320</v>
      </c>
      <c r="I64" s="13">
        <v>1396</v>
      </c>
    </row>
    <row r="65" spans="1:9" ht="16.149999999999999" customHeight="1">
      <c r="A65" s="12" t="s">
        <v>179</v>
      </c>
      <c r="B65" s="13">
        <v>1364367</v>
      </c>
      <c r="C65" s="13">
        <v>1518941</v>
      </c>
      <c r="D65" s="13">
        <v>154574</v>
      </c>
      <c r="E65" s="13">
        <v>11.3</v>
      </c>
      <c r="F65" s="13">
        <v>123483</v>
      </c>
      <c r="G65" s="13">
        <v>79927</v>
      </c>
      <c r="H65" s="13">
        <v>43556</v>
      </c>
      <c r="I65" s="13">
        <v>111018</v>
      </c>
    </row>
    <row r="66" spans="1:9" ht="16.149999999999999" customHeight="1">
      <c r="A66" s="12" t="s">
        <v>180</v>
      </c>
      <c r="B66" s="13">
        <v>15163</v>
      </c>
      <c r="C66" s="13">
        <v>15164</v>
      </c>
      <c r="D66" s="13">
        <v>1</v>
      </c>
      <c r="E66" s="13">
        <v>0</v>
      </c>
      <c r="F66" s="13">
        <v>1061</v>
      </c>
      <c r="G66" s="13">
        <v>1671</v>
      </c>
      <c r="H66" s="13">
        <v>-610</v>
      </c>
      <c r="I66" s="13">
        <v>611</v>
      </c>
    </row>
    <row r="67" spans="1:9" ht="16.149999999999999" customHeight="1">
      <c r="A67" s="12" t="s">
        <v>181</v>
      </c>
      <c r="B67" s="13">
        <v>29079</v>
      </c>
      <c r="C67" s="13">
        <v>29735</v>
      </c>
      <c r="D67" s="13">
        <v>656</v>
      </c>
      <c r="E67" s="13">
        <v>2.2999999999999998</v>
      </c>
      <c r="F67" s="13">
        <v>2626</v>
      </c>
      <c r="G67" s="13">
        <v>2719</v>
      </c>
      <c r="H67" s="13">
        <v>-93</v>
      </c>
      <c r="I67" s="13">
        <v>749</v>
      </c>
    </row>
    <row r="68" spans="1:9" ht="16.149999999999999" customHeight="1">
      <c r="A68" s="12" t="s">
        <v>182</v>
      </c>
      <c r="B68" s="13">
        <v>115154</v>
      </c>
      <c r="C68" s="13">
        <v>122925</v>
      </c>
      <c r="D68" s="13">
        <v>7771</v>
      </c>
      <c r="E68" s="13">
        <v>6.7</v>
      </c>
      <c r="F68" s="13">
        <v>9685</v>
      </c>
      <c r="G68" s="13">
        <v>11519</v>
      </c>
      <c r="H68" s="13">
        <v>-1834</v>
      </c>
      <c r="I68" s="13">
        <v>9605</v>
      </c>
    </row>
    <row r="69" spans="1:9" ht="16.149999999999999" customHeight="1">
      <c r="A69" s="12" t="s">
        <v>183</v>
      </c>
      <c r="B69" s="13">
        <v>94417</v>
      </c>
      <c r="C69" s="13">
        <v>94418</v>
      </c>
      <c r="D69" s="13">
        <v>1</v>
      </c>
      <c r="E69" s="13">
        <v>0</v>
      </c>
      <c r="F69" s="13">
        <v>7578</v>
      </c>
      <c r="G69" s="13">
        <v>9478</v>
      </c>
      <c r="H69" s="13">
        <v>-1900</v>
      </c>
      <c r="I69" s="13">
        <v>1901</v>
      </c>
    </row>
    <row r="70" spans="1:9" ht="16.149999999999999" customHeight="1">
      <c r="A70" s="12" t="s">
        <v>184</v>
      </c>
      <c r="B70" s="13">
        <v>274796</v>
      </c>
      <c r="C70" s="13">
        <v>300393</v>
      </c>
      <c r="D70" s="13">
        <v>25597</v>
      </c>
      <c r="E70" s="13">
        <v>9.3000000000000007</v>
      </c>
      <c r="F70" s="13">
        <v>20371</v>
      </c>
      <c r="G70" s="13">
        <v>21444</v>
      </c>
      <c r="H70" s="13">
        <v>-1073</v>
      </c>
      <c r="I70" s="13">
        <v>26670</v>
      </c>
    </row>
    <row r="71" spans="1:9" ht="16.149999999999999" customHeight="1">
      <c r="A71" s="12" t="s">
        <v>185</v>
      </c>
      <c r="B71" s="13">
        <v>18499</v>
      </c>
      <c r="C71" s="13">
        <v>17335</v>
      </c>
      <c r="D71" s="13">
        <v>-1164</v>
      </c>
      <c r="E71" s="13">
        <v>-6.3</v>
      </c>
      <c r="F71" s="13">
        <v>1219</v>
      </c>
      <c r="G71" s="13">
        <v>1962</v>
      </c>
      <c r="H71" s="13">
        <v>-743</v>
      </c>
      <c r="I71" s="13">
        <v>-421</v>
      </c>
    </row>
    <row r="72" spans="1:9" ht="16.149999999999999" customHeight="1">
      <c r="A72" s="12" t="s">
        <v>186</v>
      </c>
      <c r="B72" s="13">
        <v>223623</v>
      </c>
      <c r="C72" s="13">
        <v>238888</v>
      </c>
      <c r="D72" s="13">
        <v>15265</v>
      </c>
      <c r="E72" s="13">
        <v>6.8</v>
      </c>
      <c r="F72" s="13">
        <v>30960</v>
      </c>
      <c r="G72" s="13">
        <v>10863</v>
      </c>
      <c r="H72" s="13">
        <v>20097</v>
      </c>
      <c r="I72" s="13">
        <v>-4832</v>
      </c>
    </row>
    <row r="73" spans="1:9" ht="16.149999999999999" customHeight="1">
      <c r="A73" s="12" t="s">
        <v>187</v>
      </c>
      <c r="B73" s="13">
        <v>161858</v>
      </c>
      <c r="C73" s="13">
        <v>172237</v>
      </c>
      <c r="D73" s="13">
        <v>10379</v>
      </c>
      <c r="E73" s="13">
        <v>6.4</v>
      </c>
      <c r="F73" s="13">
        <v>9918</v>
      </c>
      <c r="G73" s="13">
        <v>10090</v>
      </c>
      <c r="H73" s="13">
        <v>-172</v>
      </c>
      <c r="I73" s="13">
        <v>10551</v>
      </c>
    </row>
    <row r="74" spans="1:9" ht="16.149999999999999" customHeight="1">
      <c r="A74" s="12" t="s">
        <v>188</v>
      </c>
      <c r="B74" s="13">
        <v>13535</v>
      </c>
      <c r="C74" s="13">
        <v>13680</v>
      </c>
      <c r="D74" s="13">
        <v>145</v>
      </c>
      <c r="E74" s="13">
        <v>1.1000000000000001</v>
      </c>
      <c r="F74" s="13">
        <v>726</v>
      </c>
      <c r="G74" s="13">
        <v>1654</v>
      </c>
      <c r="H74" s="13">
        <v>-928</v>
      </c>
      <c r="I74" s="13">
        <v>1073</v>
      </c>
    </row>
    <row r="75" spans="1:9" ht="16.149999999999999" customHeight="1">
      <c r="A75" s="12" t="s">
        <v>189</v>
      </c>
      <c r="B75" s="13">
        <v>41209</v>
      </c>
      <c r="C75" s="13">
        <v>41211</v>
      </c>
      <c r="D75" s="13">
        <v>2</v>
      </c>
      <c r="E75" s="13">
        <v>0</v>
      </c>
      <c r="F75" s="13">
        <v>3504</v>
      </c>
      <c r="G75" s="13">
        <v>3436</v>
      </c>
      <c r="H75" s="13">
        <v>68</v>
      </c>
      <c r="I75" s="13">
        <v>-66</v>
      </c>
    </row>
    <row r="76" spans="1:9" ht="16.149999999999999" customHeight="1">
      <c r="A76" s="12" t="s">
        <v>190</v>
      </c>
      <c r="B76" s="13">
        <v>76840</v>
      </c>
      <c r="C76" s="13">
        <v>85176</v>
      </c>
      <c r="D76" s="13">
        <v>8336</v>
      </c>
      <c r="E76" s="13">
        <v>10.8</v>
      </c>
      <c r="F76" s="13">
        <v>6258</v>
      </c>
      <c r="G76" s="13">
        <v>6543</v>
      </c>
      <c r="H76" s="13">
        <v>-285</v>
      </c>
      <c r="I76" s="13">
        <v>8621</v>
      </c>
    </row>
    <row r="77" spans="1:9" ht="16.149999999999999" customHeight="1">
      <c r="A77" s="12" t="s">
        <v>191</v>
      </c>
      <c r="B77" s="13">
        <v>14764</v>
      </c>
      <c r="C77" s="13">
        <v>15630</v>
      </c>
      <c r="D77" s="13">
        <v>866</v>
      </c>
      <c r="E77" s="13">
        <v>5.9</v>
      </c>
      <c r="F77" s="13">
        <v>1015</v>
      </c>
      <c r="G77" s="13">
        <v>1743</v>
      </c>
      <c r="H77" s="13">
        <v>-728</v>
      </c>
      <c r="I77" s="13">
        <v>1594</v>
      </c>
    </row>
    <row r="78" spans="1:9" ht="16.149999999999999" customHeight="1">
      <c r="A78" s="12" t="s">
        <v>192</v>
      </c>
      <c r="B78" s="13">
        <v>41223</v>
      </c>
      <c r="C78" s="13">
        <v>41697</v>
      </c>
      <c r="D78" s="13">
        <v>474</v>
      </c>
      <c r="E78" s="13">
        <v>1.1000000000000001</v>
      </c>
      <c r="F78" s="13">
        <v>3158</v>
      </c>
      <c r="G78" s="13">
        <v>4076</v>
      </c>
      <c r="H78" s="13">
        <v>-918</v>
      </c>
      <c r="I78" s="13">
        <v>1392</v>
      </c>
    </row>
    <row r="79" spans="1:9" ht="16.149999999999999" customHeight="1">
      <c r="A79" s="12" t="s">
        <v>193</v>
      </c>
      <c r="B79" s="13">
        <v>182854</v>
      </c>
      <c r="C79" s="13">
        <v>186316</v>
      </c>
      <c r="D79" s="13">
        <v>3462</v>
      </c>
      <c r="E79" s="13">
        <v>1.9</v>
      </c>
      <c r="F79" s="13">
        <v>14555</v>
      </c>
      <c r="G79" s="13">
        <v>12440</v>
      </c>
      <c r="H79" s="13">
        <v>2115</v>
      </c>
      <c r="I79" s="13">
        <v>1347</v>
      </c>
    </row>
    <row r="80" spans="1:9" ht="16.149999999999999" customHeight="1">
      <c r="A80" s="12" t="s">
        <v>194</v>
      </c>
      <c r="B80" s="13">
        <v>22452</v>
      </c>
      <c r="C80" s="13">
        <v>22955</v>
      </c>
      <c r="D80" s="13">
        <v>503</v>
      </c>
      <c r="E80" s="13">
        <v>2.2000000000000002</v>
      </c>
      <c r="F80" s="13">
        <v>1209</v>
      </c>
      <c r="G80" s="13">
        <v>2623</v>
      </c>
      <c r="H80" s="13">
        <v>-1414</v>
      </c>
      <c r="I80" s="13">
        <v>1917</v>
      </c>
    </row>
    <row r="81" spans="1:9" ht="16.149999999999999" customHeight="1">
      <c r="A81" s="12" t="s">
        <v>195</v>
      </c>
      <c r="B81" s="13">
        <v>157165</v>
      </c>
      <c r="C81" s="13">
        <v>163893</v>
      </c>
      <c r="D81" s="13">
        <v>6728</v>
      </c>
      <c r="E81" s="13">
        <v>4.3</v>
      </c>
      <c r="F81" s="13">
        <v>13782</v>
      </c>
      <c r="G81" s="13">
        <v>14242</v>
      </c>
      <c r="H81" s="13">
        <v>-460</v>
      </c>
      <c r="I81" s="13">
        <v>7188</v>
      </c>
    </row>
    <row r="82" spans="1:9" ht="16.149999999999999" customHeight="1">
      <c r="A82" s="12" t="s">
        <v>196</v>
      </c>
      <c r="B82" s="13">
        <v>43839</v>
      </c>
      <c r="C82" s="13">
        <v>43271</v>
      </c>
      <c r="D82" s="13">
        <v>-568</v>
      </c>
      <c r="E82" s="13">
        <v>-1.3</v>
      </c>
      <c r="F82" s="13">
        <v>3639</v>
      </c>
      <c r="G82" s="13">
        <v>4291</v>
      </c>
      <c r="H82" s="13">
        <v>-652</v>
      </c>
      <c r="I82" s="13">
        <v>84</v>
      </c>
    </row>
    <row r="83" spans="1:9" ht="16.149999999999999" customHeight="1">
      <c r="A83" s="12" t="s">
        <v>197</v>
      </c>
      <c r="B83" s="13">
        <v>123740</v>
      </c>
      <c r="C83" s="13">
        <v>119283</v>
      </c>
      <c r="D83" s="13">
        <v>-4457</v>
      </c>
      <c r="E83" s="13">
        <v>-3.6</v>
      </c>
      <c r="F83" s="13">
        <v>11041</v>
      </c>
      <c r="G83" s="13">
        <v>11130</v>
      </c>
      <c r="H83" s="13">
        <v>-89</v>
      </c>
      <c r="I83" s="13">
        <v>-4368</v>
      </c>
    </row>
    <row r="84" spans="1:9" ht="16.149999999999999" customHeight="1">
      <c r="A84" s="12" t="s">
        <v>198</v>
      </c>
      <c r="B84" s="13">
        <v>91631</v>
      </c>
      <c r="C84" s="13">
        <v>91630</v>
      </c>
      <c r="D84" s="13">
        <v>-1</v>
      </c>
      <c r="E84" s="13">
        <v>0</v>
      </c>
      <c r="F84" s="13">
        <v>6785</v>
      </c>
      <c r="G84" s="13">
        <v>9478</v>
      </c>
      <c r="H84" s="13">
        <v>-2693</v>
      </c>
      <c r="I84" s="13">
        <v>2692</v>
      </c>
    </row>
    <row r="85" spans="1:9" ht="16.149999999999999" customHeight="1">
      <c r="A85" s="12" t="s">
        <v>199</v>
      </c>
      <c r="B85" s="13">
        <v>154215</v>
      </c>
      <c r="C85" s="13">
        <v>160836</v>
      </c>
      <c r="D85" s="13">
        <v>6621</v>
      </c>
      <c r="E85" s="13">
        <v>4.3</v>
      </c>
      <c r="F85" s="13">
        <v>12583</v>
      </c>
      <c r="G85" s="13">
        <v>14854</v>
      </c>
      <c r="H85" s="13">
        <v>-2271</v>
      </c>
      <c r="I85" s="13">
        <v>8892</v>
      </c>
    </row>
    <row r="86" spans="1:9" ht="16.149999999999999" customHeight="1">
      <c r="A86" s="12" t="s">
        <v>200</v>
      </c>
      <c r="B86" s="13">
        <v>68312</v>
      </c>
      <c r="C86" s="13">
        <v>68368</v>
      </c>
      <c r="D86" s="13">
        <v>56</v>
      </c>
      <c r="E86" s="13">
        <v>0.1</v>
      </c>
      <c r="F86" s="13">
        <v>4976</v>
      </c>
      <c r="G86" s="13">
        <v>7222</v>
      </c>
      <c r="H86" s="13">
        <v>-2246</v>
      </c>
      <c r="I86" s="13">
        <v>2302</v>
      </c>
    </row>
    <row r="87" spans="1:9" ht="16.149999999999999" customHeight="1">
      <c r="A87" s="12" t="s">
        <v>201</v>
      </c>
      <c r="B87" s="13">
        <v>60713</v>
      </c>
      <c r="C87" s="13">
        <v>60269</v>
      </c>
      <c r="D87" s="13">
        <v>-444</v>
      </c>
      <c r="E87" s="13">
        <v>-0.7</v>
      </c>
      <c r="F87" s="13">
        <v>6302</v>
      </c>
      <c r="G87" s="13">
        <v>5508</v>
      </c>
      <c r="H87" s="13">
        <v>794</v>
      </c>
      <c r="I87" s="13">
        <v>-1238</v>
      </c>
    </row>
    <row r="88" spans="1:9" ht="16.149999999999999" customHeight="1">
      <c r="A88" s="12" t="s">
        <v>202</v>
      </c>
      <c r="B88" s="13">
        <v>34493</v>
      </c>
      <c r="C88" s="13">
        <v>33849</v>
      </c>
      <c r="D88" s="13">
        <v>-644</v>
      </c>
      <c r="E88" s="13">
        <v>-1.9</v>
      </c>
      <c r="F88" s="13">
        <v>3012</v>
      </c>
      <c r="G88" s="13">
        <v>3317</v>
      </c>
      <c r="H88" s="13">
        <v>-305</v>
      </c>
      <c r="I88" s="13">
        <v>-339</v>
      </c>
    </row>
    <row r="89" spans="1:9" ht="16.149999999999999" customHeight="1">
      <c r="A89" s="12" t="s">
        <v>203</v>
      </c>
      <c r="B89" s="13">
        <v>70196</v>
      </c>
      <c r="C89" s="13">
        <v>74352</v>
      </c>
      <c r="D89" s="13">
        <v>4156</v>
      </c>
      <c r="E89" s="13">
        <v>5.9</v>
      </c>
      <c r="F89" s="13">
        <v>5129</v>
      </c>
      <c r="G89" s="13">
        <v>7133</v>
      </c>
      <c r="H89" s="13">
        <v>-2004</v>
      </c>
      <c r="I89" s="13">
        <v>6160</v>
      </c>
    </row>
    <row r="90" spans="1:9" ht="16.149999999999999" customHeight="1">
      <c r="A90" s="12" t="s">
        <v>204</v>
      </c>
      <c r="B90" s="13">
        <v>46579</v>
      </c>
      <c r="C90" s="13">
        <v>46550</v>
      </c>
      <c r="D90" s="13">
        <v>-29</v>
      </c>
      <c r="E90" s="13">
        <v>-0.1</v>
      </c>
      <c r="F90" s="13">
        <v>2927</v>
      </c>
      <c r="G90" s="13">
        <v>4973</v>
      </c>
      <c r="H90" s="13">
        <v>-2046</v>
      </c>
      <c r="I90" s="13">
        <v>2017</v>
      </c>
    </row>
    <row r="91" spans="1:9" ht="16.149999999999999" customHeight="1">
      <c r="A91" s="12" t="s">
        <v>205</v>
      </c>
      <c r="B91" s="13">
        <v>72842</v>
      </c>
      <c r="C91" s="13">
        <v>72845</v>
      </c>
      <c r="D91" s="13">
        <v>3</v>
      </c>
      <c r="E91" s="13">
        <v>0</v>
      </c>
      <c r="F91" s="13">
        <v>6117</v>
      </c>
      <c r="G91" s="13">
        <v>7128</v>
      </c>
      <c r="H91" s="13">
        <v>-1011</v>
      </c>
      <c r="I91" s="13">
        <v>1014</v>
      </c>
    </row>
    <row r="92" spans="1:9" ht="16.149999999999999" customHeight="1">
      <c r="A92" s="12" t="s">
        <v>206</v>
      </c>
      <c r="B92" s="13">
        <v>16892</v>
      </c>
      <c r="C92" s="13">
        <v>17909</v>
      </c>
      <c r="D92" s="13">
        <v>1017</v>
      </c>
      <c r="E92" s="13">
        <v>6</v>
      </c>
      <c r="F92" s="13">
        <v>1542</v>
      </c>
      <c r="G92" s="13">
        <v>1648</v>
      </c>
      <c r="H92" s="13">
        <v>-106</v>
      </c>
      <c r="I92" s="13">
        <v>1123</v>
      </c>
    </row>
    <row r="93" spans="1:9" ht="16.149999999999999" customHeight="1">
      <c r="A93" s="12" t="s">
        <v>207</v>
      </c>
      <c r="B93" s="13">
        <v>38534</v>
      </c>
      <c r="C93" s="13">
        <v>40703</v>
      </c>
      <c r="D93" s="13">
        <v>2169</v>
      </c>
      <c r="E93" s="13">
        <v>5.6</v>
      </c>
      <c r="F93" s="13">
        <v>2266</v>
      </c>
      <c r="G93" s="13">
        <v>4566</v>
      </c>
      <c r="H93" s="13">
        <v>-2300</v>
      </c>
      <c r="I93" s="13">
        <v>4469</v>
      </c>
    </row>
    <row r="94" spans="1:9" ht="16.149999999999999" customHeight="1">
      <c r="A94" s="12" t="s">
        <v>208</v>
      </c>
      <c r="B94" s="13">
        <v>4137</v>
      </c>
      <c r="C94" s="13">
        <v>4134</v>
      </c>
      <c r="D94" s="13">
        <v>-3</v>
      </c>
      <c r="E94" s="13">
        <v>-0.1</v>
      </c>
      <c r="F94" s="13">
        <v>362</v>
      </c>
      <c r="G94" s="13">
        <v>383</v>
      </c>
      <c r="H94" s="13">
        <v>-21</v>
      </c>
      <c r="I94" s="13">
        <v>18</v>
      </c>
    </row>
    <row r="95" spans="1:9" ht="16.149999999999999" customHeight="1">
      <c r="A95" s="12" t="s">
        <v>209</v>
      </c>
      <c r="B95" s="13">
        <v>283481</v>
      </c>
      <c r="C95" s="13">
        <v>313261</v>
      </c>
      <c r="D95" s="13">
        <v>29780</v>
      </c>
      <c r="E95" s="13">
        <v>10.5</v>
      </c>
      <c r="F95" s="13">
        <v>26882</v>
      </c>
      <c r="G95" s="13">
        <v>19254</v>
      </c>
      <c r="H95" s="13">
        <v>7628</v>
      </c>
      <c r="I95" s="13">
        <v>22152</v>
      </c>
    </row>
    <row r="96" spans="1:9" ht="16.149999999999999" customHeight="1">
      <c r="A96" s="12" t="s">
        <v>210</v>
      </c>
      <c r="B96" s="13">
        <v>44293</v>
      </c>
      <c r="C96" s="13">
        <v>44193</v>
      </c>
      <c r="D96" s="13">
        <v>-100</v>
      </c>
      <c r="E96" s="13">
        <v>-0.2</v>
      </c>
      <c r="F96" s="13">
        <v>4060</v>
      </c>
      <c r="G96" s="13">
        <v>4112</v>
      </c>
      <c r="H96" s="13">
        <v>-52</v>
      </c>
      <c r="I96" s="13">
        <v>-48</v>
      </c>
    </row>
    <row r="97" spans="1:9" ht="16.149999999999999" customHeight="1">
      <c r="A97" s="12" t="s">
        <v>211</v>
      </c>
      <c r="B97" s="13">
        <v>1348745</v>
      </c>
      <c r="C97" s="13">
        <v>1511392</v>
      </c>
      <c r="D97" s="13">
        <v>162647</v>
      </c>
      <c r="E97" s="13">
        <v>12.1</v>
      </c>
      <c r="F97" s="13">
        <v>118477</v>
      </c>
      <c r="G97" s="13">
        <v>77479</v>
      </c>
      <c r="H97" s="13">
        <v>40998</v>
      </c>
      <c r="I97" s="13">
        <v>121649</v>
      </c>
    </row>
    <row r="98" spans="1:9" ht="16.149999999999999" customHeight="1">
      <c r="A98" s="12" t="s">
        <v>212</v>
      </c>
      <c r="B98" s="13">
        <v>19605</v>
      </c>
      <c r="C98" s="13">
        <v>19494</v>
      </c>
      <c r="D98" s="13">
        <v>-111</v>
      </c>
      <c r="E98" s="13">
        <v>-0.6</v>
      </c>
      <c r="F98" s="13">
        <v>1217</v>
      </c>
      <c r="G98" s="13">
        <v>2102</v>
      </c>
      <c r="H98" s="13">
        <v>-885</v>
      </c>
      <c r="I98" s="13">
        <v>774</v>
      </c>
    </row>
    <row r="99" spans="1:9" ht="16.149999999999999" customHeight="1">
      <c r="A99" s="12" t="s">
        <v>213</v>
      </c>
      <c r="B99" s="13">
        <v>11361</v>
      </c>
      <c r="C99" s="13">
        <v>10831</v>
      </c>
      <c r="D99" s="13">
        <v>-530</v>
      </c>
      <c r="E99" s="13">
        <v>-4.7</v>
      </c>
      <c r="F99" s="13">
        <v>888</v>
      </c>
      <c r="G99" s="13">
        <v>1266</v>
      </c>
      <c r="H99" s="13">
        <v>-378</v>
      </c>
      <c r="I99" s="13">
        <v>-152</v>
      </c>
    </row>
    <row r="100" spans="1:9" ht="16.149999999999999" customHeight="1">
      <c r="A100" s="12" t="s">
        <v>214</v>
      </c>
      <c r="B100" s="13">
        <v>71475</v>
      </c>
      <c r="C100" s="13">
        <v>79717</v>
      </c>
      <c r="D100" s="13">
        <v>8242</v>
      </c>
      <c r="E100" s="13">
        <v>11.5</v>
      </c>
      <c r="F100" s="13">
        <v>4838</v>
      </c>
      <c r="G100" s="13">
        <v>4168</v>
      </c>
      <c r="H100" s="13">
        <v>670</v>
      </c>
      <c r="I100" s="13">
        <v>7572</v>
      </c>
    </row>
    <row r="101" spans="1:9" ht="16.149999999999999" customHeight="1">
      <c r="A101" s="12" t="s">
        <v>215</v>
      </c>
      <c r="B101" s="13">
        <v>135269</v>
      </c>
      <c r="C101" s="13">
        <v>140731</v>
      </c>
      <c r="D101" s="13">
        <v>5462</v>
      </c>
      <c r="E101" s="13">
        <v>4</v>
      </c>
      <c r="F101" s="13">
        <v>12501</v>
      </c>
      <c r="G101" s="13">
        <v>10963</v>
      </c>
      <c r="H101" s="13">
        <v>1538</v>
      </c>
      <c r="I101" s="13">
        <v>3924</v>
      </c>
    </row>
    <row r="102" spans="1:9" ht="16.149999999999999" customHeight="1">
      <c r="A102" s="12" t="s">
        <v>216</v>
      </c>
      <c r="B102" s="13">
        <v>75042</v>
      </c>
      <c r="C102" s="13">
        <v>77466</v>
      </c>
      <c r="D102" s="13">
        <v>2424</v>
      </c>
      <c r="E102" s="13">
        <v>3.2</v>
      </c>
      <c r="F102" s="13">
        <v>5597</v>
      </c>
      <c r="G102" s="13">
        <v>7937</v>
      </c>
      <c r="H102" s="13">
        <v>-2340</v>
      </c>
      <c r="I102" s="13">
        <v>4764</v>
      </c>
    </row>
    <row r="103" spans="1:9" ht="16.149999999999999" customHeight="1">
      <c r="A103" s="12" t="s">
        <v>217</v>
      </c>
      <c r="B103" s="13">
        <v>88930</v>
      </c>
      <c r="C103" s="13">
        <v>92994</v>
      </c>
      <c r="D103" s="13">
        <v>4064</v>
      </c>
      <c r="E103" s="13">
        <v>4.5999999999999996</v>
      </c>
      <c r="F103" s="13">
        <v>7266</v>
      </c>
      <c r="G103" s="13">
        <v>8279</v>
      </c>
      <c r="H103" s="13">
        <v>-1013</v>
      </c>
      <c r="I103" s="13">
        <v>5077</v>
      </c>
    </row>
    <row r="104" spans="1:9" ht="16.149999999999999" customHeight="1">
      <c r="A104" s="12" t="s">
        <v>218</v>
      </c>
      <c r="B104" s="13">
        <v>37766</v>
      </c>
      <c r="C104" s="13">
        <v>37776</v>
      </c>
      <c r="D104" s="13">
        <v>10</v>
      </c>
      <c r="E104" s="13">
        <v>0</v>
      </c>
      <c r="F104" s="13">
        <v>2981</v>
      </c>
      <c r="G104" s="13">
        <v>3729</v>
      </c>
      <c r="H104" s="13">
        <v>-748</v>
      </c>
      <c r="I104" s="13">
        <v>758</v>
      </c>
    </row>
    <row r="105" spans="1:9" ht="16.149999999999999" customHeight="1">
      <c r="A105" s="12" t="s">
        <v>219</v>
      </c>
      <c r="B105" s="13">
        <v>18928</v>
      </c>
      <c r="C105" s="13">
        <v>19323</v>
      </c>
      <c r="D105" s="13">
        <v>395</v>
      </c>
      <c r="E105" s="13">
        <v>2.1</v>
      </c>
      <c r="F105" s="13">
        <v>1388</v>
      </c>
      <c r="G105" s="13">
        <v>2046</v>
      </c>
      <c r="H105" s="13">
        <v>-658</v>
      </c>
      <c r="I105" s="13">
        <v>1053</v>
      </c>
    </row>
    <row r="106" spans="1:9" ht="16.149999999999999" customHeight="1" thickBot="1">
      <c r="A106" s="12" t="s">
        <v>220</v>
      </c>
      <c r="B106" s="13">
        <v>11759744</v>
      </c>
      <c r="C106" s="13">
        <v>12553271</v>
      </c>
      <c r="D106" s="13">
        <v>793527</v>
      </c>
      <c r="E106" s="13">
        <v>6.7</v>
      </c>
      <c r="F106" s="13">
        <v>997791</v>
      </c>
      <c r="G106" s="13">
        <v>938831</v>
      </c>
      <c r="H106" s="13">
        <v>58960</v>
      </c>
      <c r="I106" s="13">
        <v>734567</v>
      </c>
    </row>
    <row r="107" spans="1:9" ht="16.149999999999999" customHeight="1">
      <c r="A107" s="242" t="s">
        <v>221</v>
      </c>
      <c r="B107" s="242"/>
      <c r="C107" s="242"/>
      <c r="D107" s="242"/>
      <c r="E107" s="242"/>
      <c r="F107" s="242"/>
      <c r="G107" s="242"/>
      <c r="H107" s="242"/>
      <c r="I107" s="242"/>
    </row>
  </sheetData>
  <sheetProtection algorithmName="SHA-512" hashValue="rVaB39aEwXz6QUitd6JUGmGAs8yPqUAVyGusc5IBTMPxlVVXShx3n9FCDnpuYQDJZKqDfXyv5o5IKUriYlg43g==" saltValue="RZXWaVHwAc6x7DgeegGeZQ==" spinCount="100000" sheet="1" objects="1" scenarios="1"/>
  <mergeCells count="6">
    <mergeCell ref="A107:I107"/>
    <mergeCell ref="A1:I1"/>
    <mergeCell ref="A2:I2"/>
    <mergeCell ref="B4:C4"/>
    <mergeCell ref="D4:E4"/>
    <mergeCell ref="F4:I4"/>
  </mergeCells>
  <hyperlinks>
    <hyperlink ref="A2" r:id="rId1" display="https://ncosbm.s3.amazonaws.com/s3fs-public/demog/countygrowth_2037.xls" xr:uid="{64DACA72-E19D-4959-BE36-15E1C9C9BAF2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304A-B2C9-497A-A854-3203936170B9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69B0-796C-4EC7-9445-D0C744BC89D8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EC2C-CD27-45F4-8625-130E7BE2DCF2}">
  <sheetPr>
    <tabColor theme="4" tint="0.59999389629810485"/>
  </sheetPr>
  <dimension ref="A1:AG106"/>
  <sheetViews>
    <sheetView tabSelected="1" workbookViewId="0">
      <selection activeCell="B21" sqref="B21"/>
    </sheetView>
  </sheetViews>
  <sheetFormatPr defaultRowHeight="15"/>
  <cols>
    <col min="1" max="1" width="50.42578125" style="34" customWidth="1"/>
    <col min="2" max="2" width="18.28515625" customWidth="1"/>
    <col min="3" max="3" width="74" style="34" customWidth="1"/>
    <col min="4" max="4" width="9.140625" style="16"/>
    <col min="7" max="10" width="0" hidden="1" customWidth="1"/>
  </cols>
  <sheetData>
    <row r="1" spans="1:33">
      <c r="A1" s="14" t="s">
        <v>225</v>
      </c>
      <c r="B1" s="15" t="s">
        <v>226</v>
      </c>
      <c r="C1" s="14" t="s">
        <v>227</v>
      </c>
    </row>
    <row r="2" spans="1:33">
      <c r="A2" s="14" t="s">
        <v>228</v>
      </c>
      <c r="B2" s="15"/>
      <c r="C2" s="14"/>
    </row>
    <row r="3" spans="1:33">
      <c r="A3" s="17" t="s">
        <v>229</v>
      </c>
      <c r="B3" s="18">
        <v>7.0000000000000007E-2</v>
      </c>
      <c r="C3" s="19" t="s">
        <v>230</v>
      </c>
    </row>
    <row r="4" spans="1:33">
      <c r="A4" s="17" t="s">
        <v>229</v>
      </c>
      <c r="B4" s="18">
        <v>0.03</v>
      </c>
      <c r="C4" s="19" t="s">
        <v>230</v>
      </c>
    </row>
    <row r="5" spans="1:33">
      <c r="A5" s="20" t="s">
        <v>231</v>
      </c>
      <c r="B5" s="21">
        <v>1.39</v>
      </c>
      <c r="C5" s="19" t="s">
        <v>232</v>
      </c>
    </row>
    <row r="6" spans="1:33">
      <c r="A6" s="20" t="s">
        <v>233</v>
      </c>
      <c r="B6" s="22">
        <v>280</v>
      </c>
      <c r="C6" s="23" t="s">
        <v>234</v>
      </c>
    </row>
    <row r="7" spans="1:33">
      <c r="A7" s="20" t="s">
        <v>235</v>
      </c>
      <c r="B7" s="24">
        <v>67.5</v>
      </c>
      <c r="C7" s="20" t="s">
        <v>236</v>
      </c>
    </row>
    <row r="8" spans="1:33">
      <c r="A8" s="20" t="s">
        <v>237</v>
      </c>
      <c r="B8" s="25">
        <v>50000</v>
      </c>
      <c r="C8" s="20" t="s">
        <v>238</v>
      </c>
    </row>
    <row r="9" spans="1:33">
      <c r="A9" s="20" t="s">
        <v>239</v>
      </c>
      <c r="B9" s="25">
        <v>200000</v>
      </c>
      <c r="C9" s="20" t="s">
        <v>240</v>
      </c>
    </row>
    <row r="10" spans="1:33" s="27" customFormat="1" ht="30">
      <c r="A10" s="20" t="s">
        <v>241</v>
      </c>
      <c r="B10" s="22">
        <f>131000*0.4</f>
        <v>52400</v>
      </c>
      <c r="C10" s="26" t="s">
        <v>242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>
      <c r="A11" s="20" t="s">
        <v>243</v>
      </c>
      <c r="B11" s="28">
        <v>0.11600000000000001</v>
      </c>
      <c r="C11" s="19" t="s">
        <v>244</v>
      </c>
    </row>
    <row r="12" spans="1:33" ht="30">
      <c r="A12" s="19" t="s">
        <v>245</v>
      </c>
      <c r="B12" s="28">
        <f>AVERAGE(G11:G12)</f>
        <v>3.4299661872426945E-2</v>
      </c>
      <c r="C12" s="19" t="s">
        <v>246</v>
      </c>
      <c r="G12" s="16">
        <v>3.4299661872426945E-2</v>
      </c>
      <c r="H12" t="s">
        <v>247</v>
      </c>
      <c r="I12" t="s">
        <v>248</v>
      </c>
      <c r="J12" t="s">
        <v>249</v>
      </c>
    </row>
    <row r="13" spans="1:33">
      <c r="A13" s="20"/>
      <c r="B13" s="29"/>
      <c r="C13" s="20"/>
      <c r="D13"/>
    </row>
    <row r="14" spans="1:33">
      <c r="A14" s="14" t="s">
        <v>250</v>
      </c>
      <c r="B14" s="30"/>
      <c r="C14" s="19"/>
      <c r="D14"/>
    </row>
    <row r="15" spans="1:33">
      <c r="A15" s="20" t="s">
        <v>251</v>
      </c>
      <c r="B15" s="31">
        <v>13.6</v>
      </c>
      <c r="C15" s="20" t="s">
        <v>230</v>
      </c>
      <c r="D15"/>
    </row>
    <row r="16" spans="1:33">
      <c r="A16" s="20" t="s">
        <v>252</v>
      </c>
      <c r="B16" s="31">
        <v>25.4</v>
      </c>
      <c r="C16" s="20" t="s">
        <v>230</v>
      </c>
      <c r="D16"/>
      <c r="G16" s="16"/>
    </row>
    <row r="17" spans="1:4">
      <c r="A17" s="20" t="s">
        <v>253</v>
      </c>
      <c r="B17" s="31">
        <v>14.1</v>
      </c>
      <c r="C17" s="20" t="s">
        <v>230</v>
      </c>
      <c r="D17"/>
    </row>
    <row r="18" spans="1:4">
      <c r="A18" s="20" t="s">
        <v>254</v>
      </c>
      <c r="B18" s="31">
        <v>27.2</v>
      </c>
      <c r="C18" s="20" t="s">
        <v>230</v>
      </c>
      <c r="D18"/>
    </row>
    <row r="19" spans="1:4">
      <c r="A19" s="20" t="s">
        <v>255</v>
      </c>
      <c r="B19" s="31">
        <v>13.849676025917926</v>
      </c>
      <c r="C19" s="20" t="s">
        <v>256</v>
      </c>
    </row>
    <row r="20" spans="1:4">
      <c r="A20" s="20" t="s">
        <v>257</v>
      </c>
      <c r="B20" s="31">
        <v>25.866306695464363</v>
      </c>
      <c r="C20" s="20" t="s">
        <v>256</v>
      </c>
    </row>
    <row r="21" spans="1:4">
      <c r="A21" s="20" t="s">
        <v>258</v>
      </c>
      <c r="B21" s="31">
        <v>14.358855291576672</v>
      </c>
      <c r="C21" s="20" t="s">
        <v>256</v>
      </c>
    </row>
    <row r="22" spans="1:4">
      <c r="A22" s="20" t="s">
        <v>259</v>
      </c>
      <c r="B22" s="31">
        <v>27.699352051835852</v>
      </c>
      <c r="C22" s="20" t="s">
        <v>256</v>
      </c>
    </row>
    <row r="23" spans="1:4">
      <c r="A23" s="20" t="s">
        <v>260</v>
      </c>
      <c r="B23" s="22">
        <v>30</v>
      </c>
      <c r="C23" s="23" t="s">
        <v>261</v>
      </c>
    </row>
    <row r="24" spans="1:4" ht="45">
      <c r="A24" s="20" t="s">
        <v>262</v>
      </c>
      <c r="B24" s="18">
        <v>0.02</v>
      </c>
      <c r="C24" s="19" t="s">
        <v>263</v>
      </c>
    </row>
    <row r="25" spans="1:4">
      <c r="A25" s="19" t="s">
        <v>264</v>
      </c>
      <c r="B25" s="25">
        <v>2250</v>
      </c>
      <c r="C25" s="19" t="s">
        <v>265</v>
      </c>
    </row>
    <row r="26" spans="1:4">
      <c r="A26" s="19" t="s">
        <v>266</v>
      </c>
      <c r="B26" s="25">
        <v>1000</v>
      </c>
      <c r="C26" s="19" t="s">
        <v>267</v>
      </c>
    </row>
    <row r="27" spans="1:4">
      <c r="A27" s="20"/>
      <c r="B27" s="32"/>
      <c r="C27" s="19"/>
    </row>
    <row r="28" spans="1:4">
      <c r="A28" s="33" t="s">
        <v>268</v>
      </c>
      <c r="B28" s="30"/>
      <c r="C28" s="19"/>
    </row>
    <row r="29" spans="1:4">
      <c r="A29" s="20" t="s">
        <v>269</v>
      </c>
      <c r="B29" s="25">
        <v>4252</v>
      </c>
      <c r="C29" s="20" t="s">
        <v>230</v>
      </c>
    </row>
    <row r="30" spans="1:4">
      <c r="A30" s="20" t="s">
        <v>270</v>
      </c>
      <c r="B30" s="25">
        <v>28800</v>
      </c>
      <c r="C30" s="20" t="s">
        <v>230</v>
      </c>
    </row>
    <row r="31" spans="1:4">
      <c r="A31" s="20" t="s">
        <v>271</v>
      </c>
      <c r="B31" s="25">
        <v>451200</v>
      </c>
      <c r="C31" s="20" t="s">
        <v>230</v>
      </c>
    </row>
    <row r="32" spans="1:4">
      <c r="A32" s="20" t="s">
        <v>272</v>
      </c>
      <c r="B32" s="25">
        <v>1008000</v>
      </c>
      <c r="C32" s="20" t="s">
        <v>230</v>
      </c>
    </row>
    <row r="33" spans="1:3">
      <c r="A33" s="20" t="s">
        <v>273</v>
      </c>
      <c r="B33" s="25">
        <v>2553600</v>
      </c>
      <c r="C33" s="20" t="s">
        <v>230</v>
      </c>
    </row>
    <row r="34" spans="1:3">
      <c r="A34" s="20" t="s">
        <v>274</v>
      </c>
      <c r="B34" s="25">
        <v>5692800</v>
      </c>
      <c r="C34" s="20" t="s">
        <v>230</v>
      </c>
    </row>
    <row r="35" spans="1:3">
      <c r="A35" s="20" t="s">
        <v>275</v>
      </c>
      <c r="B35" s="25">
        <v>9600000</v>
      </c>
      <c r="C35" s="20" t="s">
        <v>230</v>
      </c>
    </row>
    <row r="36" spans="1:3">
      <c r="A36" s="20" t="s">
        <v>276</v>
      </c>
      <c r="B36" s="25">
        <v>4330.0604751619867</v>
      </c>
      <c r="C36" s="20" t="s">
        <v>256</v>
      </c>
    </row>
    <row r="37" spans="1:3">
      <c r="A37" s="20" t="s">
        <v>277</v>
      </c>
      <c r="B37" s="25">
        <v>29328.725701943844</v>
      </c>
      <c r="C37" s="20" t="s">
        <v>256</v>
      </c>
    </row>
    <row r="38" spans="1:3">
      <c r="A38" s="20" t="s">
        <v>278</v>
      </c>
      <c r="B38" s="25">
        <v>459483.36933045357</v>
      </c>
      <c r="C38" s="20" t="s">
        <v>256</v>
      </c>
    </row>
    <row r="39" spans="1:3">
      <c r="A39" s="20" t="s">
        <v>279</v>
      </c>
      <c r="B39" s="25">
        <v>1026505.3995680347</v>
      </c>
      <c r="C39" s="20" t="s">
        <v>256</v>
      </c>
    </row>
    <row r="40" spans="1:3">
      <c r="A40" s="20" t="s">
        <v>280</v>
      </c>
      <c r="B40" s="25">
        <v>2600480.3455723543</v>
      </c>
      <c r="C40" s="20" t="s">
        <v>256</v>
      </c>
    </row>
    <row r="41" spans="1:3">
      <c r="A41" s="20" t="s">
        <v>281</v>
      </c>
      <c r="B41" s="25">
        <v>5797311.4470842332</v>
      </c>
      <c r="C41" s="20" t="s">
        <v>256</v>
      </c>
    </row>
    <row r="42" spans="1:3">
      <c r="A42" s="20" t="s">
        <v>282</v>
      </c>
      <c r="B42" s="25">
        <v>9776241.9006479476</v>
      </c>
      <c r="C42" s="20" t="s">
        <v>256</v>
      </c>
    </row>
    <row r="43" spans="1:3">
      <c r="A43" s="20" t="s">
        <v>283</v>
      </c>
      <c r="B43" s="25">
        <v>63900</v>
      </c>
      <c r="C43" s="20" t="s">
        <v>230</v>
      </c>
    </row>
    <row r="44" spans="1:3">
      <c r="A44" s="20" t="s">
        <v>284</v>
      </c>
      <c r="B44" s="25">
        <v>125000</v>
      </c>
      <c r="C44" s="20" t="s">
        <v>230</v>
      </c>
    </row>
    <row r="45" spans="1:3">
      <c r="A45" s="20" t="s">
        <v>285</v>
      </c>
      <c r="B45" s="25">
        <v>459100</v>
      </c>
      <c r="C45" s="20" t="s">
        <v>230</v>
      </c>
    </row>
    <row r="46" spans="1:3">
      <c r="A46" s="20" t="s">
        <v>286</v>
      </c>
      <c r="B46" s="25">
        <v>9600000</v>
      </c>
      <c r="C46" s="20" t="s">
        <v>230</v>
      </c>
    </row>
    <row r="47" spans="1:3">
      <c r="A47" s="20" t="s">
        <v>287</v>
      </c>
      <c r="B47" s="25">
        <v>65073.110151187895</v>
      </c>
      <c r="C47" s="20" t="s">
        <v>256</v>
      </c>
    </row>
    <row r="48" spans="1:3">
      <c r="A48" s="20" t="s">
        <v>288</v>
      </c>
      <c r="B48" s="25">
        <v>127294.81641468682</v>
      </c>
      <c r="C48" s="20" t="s">
        <v>256</v>
      </c>
    </row>
    <row r="49" spans="1:3">
      <c r="A49" s="20" t="s">
        <v>289</v>
      </c>
      <c r="B49" s="25">
        <v>467528.40172786178</v>
      </c>
      <c r="C49" s="20" t="s">
        <v>256</v>
      </c>
    </row>
    <row r="50" spans="1:3">
      <c r="A50" s="20" t="s">
        <v>290</v>
      </c>
      <c r="B50" s="25">
        <v>9776241.9006479476</v>
      </c>
      <c r="C50" s="20" t="s">
        <v>256</v>
      </c>
    </row>
    <row r="106" spans="1:1">
      <c r="A106" s="34" t="s">
        <v>291</v>
      </c>
    </row>
  </sheetData>
  <sheetProtection algorithmName="SHA-512" hashValue="WZjSuwvlmt/iufNYU7d2nGiZNC2AabsK4okJSdvMs74Bbuc3p23kujR9R5f8ELgbY3TD9ylNKxxAp16EjfoD6w==" saltValue="E05cuJQdOJVgZ3w+uCoicg==" spinCount="100000" sheet="1" objects="1" scenarios="1"/>
  <hyperlinks>
    <hyperlink ref="C10" r:id="rId1" xr:uid="{4B1ACAED-D818-4E64-BD2D-43D9F2DD024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017E6-7FBF-4539-A0BF-BA7BE489B876}">
  <sheetPr>
    <tabColor rgb="FFFF0000"/>
  </sheetPr>
  <dimension ref="A1:AG44"/>
  <sheetViews>
    <sheetView workbookViewId="0">
      <selection activeCell="E30" sqref="E30"/>
    </sheetView>
  </sheetViews>
  <sheetFormatPr defaultColWidth="9.140625" defaultRowHeight="15"/>
  <cols>
    <col min="2" max="2" width="5.7109375" style="52" bestFit="1" customWidth="1"/>
    <col min="3" max="12" width="14.85546875" style="16" customWidth="1"/>
    <col min="13" max="13" width="16.28515625" style="16" customWidth="1"/>
    <col min="14" max="14" width="6.28515625" style="16" customWidth="1"/>
    <col min="15" max="15" width="13.28515625" style="16" customWidth="1"/>
    <col min="16" max="16" width="10.85546875" style="16" bestFit="1" customWidth="1"/>
    <col min="17" max="17" width="13" style="16" bestFit="1" customWidth="1"/>
    <col min="18" max="18" width="23.5703125" style="16" customWidth="1"/>
    <col min="19" max="19" width="14.85546875" style="16" customWidth="1"/>
    <col min="20" max="20" width="6.5703125" style="16" customWidth="1"/>
    <col min="21" max="21" width="5.7109375" style="52" bestFit="1" customWidth="1"/>
    <col min="22" max="22" width="14.85546875" style="16" bestFit="1" customWidth="1"/>
    <col min="23" max="24" width="14.85546875" style="16" customWidth="1"/>
    <col min="25" max="25" width="16.28515625" style="16" customWidth="1"/>
    <col min="26" max="26" width="6.42578125" style="16" customWidth="1"/>
    <col min="27" max="27" width="12.85546875" style="16" customWidth="1"/>
    <col min="28" max="28" width="13.28515625" style="16" customWidth="1"/>
    <col min="29" max="30" width="10.28515625" style="16" customWidth="1"/>
    <col min="31" max="31" width="12" style="16" customWidth="1"/>
    <col min="32" max="33" width="14.85546875" style="16" customWidth="1"/>
    <col min="34" max="16384" width="9.140625" style="16"/>
  </cols>
  <sheetData>
    <row r="1" spans="1:33">
      <c r="A1" s="16"/>
      <c r="B1" s="66"/>
      <c r="U1" s="66"/>
    </row>
    <row r="2" spans="1:33">
      <c r="A2" s="16"/>
      <c r="B2" s="52" t="s">
        <v>0</v>
      </c>
      <c r="C2" s="67"/>
      <c r="D2" s="67"/>
      <c r="E2" s="67"/>
      <c r="F2" s="67"/>
      <c r="G2" s="67"/>
      <c r="H2" s="67"/>
      <c r="I2" s="67"/>
      <c r="J2" s="67"/>
      <c r="K2" s="67"/>
      <c r="V2" s="222"/>
      <c r="W2" s="222"/>
      <c r="X2" s="222"/>
      <c r="AA2" s="222"/>
      <c r="AB2" s="222"/>
      <c r="AC2" s="222"/>
      <c r="AD2" s="52"/>
      <c r="AE2" s="222"/>
      <c r="AF2" s="222"/>
      <c r="AG2" s="222"/>
    </row>
    <row r="3" spans="1:33" s="68" customFormat="1" ht="15.75" thickBot="1">
      <c r="B3" s="52"/>
      <c r="C3" s="67"/>
      <c r="D3" s="67"/>
      <c r="E3" s="67"/>
      <c r="F3" s="67"/>
      <c r="G3" s="67"/>
      <c r="H3" s="67"/>
      <c r="I3" s="67"/>
      <c r="J3" s="67"/>
      <c r="K3" s="67"/>
      <c r="L3" s="16"/>
      <c r="M3" s="16"/>
      <c r="N3" s="16"/>
      <c r="O3" s="69"/>
      <c r="P3" s="16"/>
      <c r="Q3" s="70"/>
      <c r="R3" s="70"/>
      <c r="S3" s="70"/>
      <c r="U3" s="71"/>
      <c r="Z3" s="16"/>
    </row>
    <row r="4" spans="1:33" ht="45">
      <c r="A4" s="16"/>
      <c r="B4" s="72" t="s">
        <v>339</v>
      </c>
      <c r="C4" s="73" t="s">
        <v>351</v>
      </c>
      <c r="D4" s="73" t="s">
        <v>352</v>
      </c>
      <c r="E4" s="73" t="s">
        <v>353</v>
      </c>
      <c r="F4" s="73" t="s">
        <v>354</v>
      </c>
      <c r="G4" s="73" t="s">
        <v>355</v>
      </c>
      <c r="H4" s="73" t="s">
        <v>356</v>
      </c>
      <c r="I4" s="73" t="s">
        <v>340</v>
      </c>
      <c r="J4" s="73" t="s">
        <v>341</v>
      </c>
      <c r="K4" s="73" t="s">
        <v>342</v>
      </c>
      <c r="L4" s="73" t="s">
        <v>343</v>
      </c>
      <c r="M4" s="73" t="s">
        <v>344</v>
      </c>
      <c r="O4" s="73" t="s">
        <v>345</v>
      </c>
      <c r="P4" s="73" t="s">
        <v>346</v>
      </c>
      <c r="Q4" s="74" t="s">
        <v>347</v>
      </c>
      <c r="R4" s="74" t="s">
        <v>348</v>
      </c>
      <c r="S4" s="73" t="s">
        <v>349</v>
      </c>
      <c r="V4" s="75"/>
      <c r="W4" s="75"/>
      <c r="X4" s="76"/>
      <c r="AA4" s="75"/>
      <c r="AB4" s="76"/>
      <c r="AE4" s="77"/>
      <c r="AF4" s="77"/>
      <c r="AG4" s="78"/>
    </row>
    <row r="5" spans="1:33">
      <c r="A5" s="16"/>
      <c r="B5" s="79">
        <v>2015</v>
      </c>
      <c r="C5" s="80"/>
      <c r="D5" s="80"/>
      <c r="E5" s="80"/>
      <c r="F5" s="80"/>
      <c r="G5" s="80"/>
      <c r="H5" s="80"/>
      <c r="I5" s="80"/>
      <c r="J5" s="80"/>
      <c r="K5" s="80">
        <f t="shared" ref="K5:K37" si="0">SUM(C5:J5)</f>
        <v>0</v>
      </c>
      <c r="L5" s="80">
        <f t="shared" ref="L5:L37" si="1">K5/((1.07)^(B5-2017))</f>
        <v>0</v>
      </c>
      <c r="M5" s="25">
        <f t="shared" ref="M5:M37" si="2">K5/((1.03)^(B5-2017))</f>
        <v>0</v>
      </c>
      <c r="O5" s="25"/>
      <c r="P5" s="25"/>
      <c r="Q5" s="80">
        <f t="shared" ref="Q5:Q37" si="3">SUM(O5:P5)</f>
        <v>0</v>
      </c>
      <c r="R5" s="97">
        <f t="shared" ref="R5:R12" si="4">ROUND(Q5/(1.07^(B5-2017)),0)</f>
        <v>0</v>
      </c>
      <c r="S5" s="97">
        <f t="shared" ref="S5:S12" si="5">ROUND(Q5/(1.03^(B5-2017)),0)</f>
        <v>0</v>
      </c>
      <c r="V5" s="75"/>
      <c r="W5" s="75"/>
      <c r="X5" s="76"/>
      <c r="AA5" s="75"/>
      <c r="AB5" s="76"/>
      <c r="AE5" s="77"/>
      <c r="AF5" s="77"/>
      <c r="AG5" s="78"/>
    </row>
    <row r="6" spans="1:33">
      <c r="A6" s="16"/>
      <c r="B6" s="79">
        <v>2016</v>
      </c>
      <c r="C6" s="80"/>
      <c r="D6" s="80"/>
      <c r="E6" s="80"/>
      <c r="F6" s="80"/>
      <c r="G6" s="80"/>
      <c r="H6" s="80"/>
      <c r="I6" s="80"/>
      <c r="J6" s="80"/>
      <c r="K6" s="80">
        <f t="shared" si="0"/>
        <v>0</v>
      </c>
      <c r="L6" s="80">
        <f t="shared" si="1"/>
        <v>0</v>
      </c>
      <c r="M6" s="25">
        <f t="shared" si="2"/>
        <v>0</v>
      </c>
      <c r="O6" s="25"/>
      <c r="P6" s="25"/>
      <c r="Q6" s="80">
        <f t="shared" si="3"/>
        <v>0</v>
      </c>
      <c r="R6" s="97">
        <f t="shared" si="4"/>
        <v>0</v>
      </c>
      <c r="S6" s="97">
        <f t="shared" si="5"/>
        <v>0</v>
      </c>
    </row>
    <row r="7" spans="1:33">
      <c r="A7" s="16"/>
      <c r="B7" s="79">
        <v>2017</v>
      </c>
      <c r="C7" s="80"/>
      <c r="D7" s="80"/>
      <c r="E7" s="80"/>
      <c r="F7" s="80"/>
      <c r="G7" s="80"/>
      <c r="H7" s="80"/>
      <c r="I7" s="80"/>
      <c r="J7" s="80"/>
      <c r="K7" s="80">
        <f t="shared" si="0"/>
        <v>0</v>
      </c>
      <c r="L7" s="80">
        <f t="shared" si="1"/>
        <v>0</v>
      </c>
      <c r="M7" s="25">
        <f t="shared" si="2"/>
        <v>0</v>
      </c>
      <c r="O7" s="25"/>
      <c r="P7" s="25"/>
      <c r="Q7" s="80">
        <f t="shared" si="3"/>
        <v>0</v>
      </c>
      <c r="R7" s="97">
        <f t="shared" si="4"/>
        <v>0</v>
      </c>
      <c r="S7" s="97">
        <f t="shared" si="5"/>
        <v>0</v>
      </c>
      <c r="V7" s="222"/>
      <c r="W7" s="222"/>
      <c r="X7" s="222"/>
    </row>
    <row r="8" spans="1:33">
      <c r="A8" s="16"/>
      <c r="B8" s="79">
        <v>2018</v>
      </c>
      <c r="C8" s="80"/>
      <c r="D8" s="80"/>
      <c r="E8" s="80"/>
      <c r="F8" s="80"/>
      <c r="G8" s="80"/>
      <c r="H8" s="80"/>
      <c r="I8" s="80"/>
      <c r="J8" s="80"/>
      <c r="K8" s="80">
        <f t="shared" si="0"/>
        <v>0</v>
      </c>
      <c r="L8" s="80">
        <f t="shared" si="1"/>
        <v>0</v>
      </c>
      <c r="M8" s="25">
        <f t="shared" si="2"/>
        <v>0</v>
      </c>
      <c r="O8" s="25"/>
      <c r="P8" s="25"/>
      <c r="Q8" s="80">
        <f t="shared" si="3"/>
        <v>0</v>
      </c>
      <c r="R8" s="97">
        <f t="shared" si="4"/>
        <v>0</v>
      </c>
      <c r="S8" s="97">
        <f t="shared" si="5"/>
        <v>0</v>
      </c>
      <c r="U8" s="71"/>
      <c r="V8" s="68"/>
      <c r="W8" s="68"/>
      <c r="X8" s="68"/>
    </row>
    <row r="9" spans="1:33">
      <c r="A9" s="16"/>
      <c r="B9" s="79">
        <v>2019</v>
      </c>
      <c r="C9" s="80"/>
      <c r="D9" s="80"/>
      <c r="E9" s="80"/>
      <c r="F9" s="80"/>
      <c r="G9" s="80"/>
      <c r="H9" s="80"/>
      <c r="I9" s="80"/>
      <c r="J9" s="80"/>
      <c r="K9" s="80">
        <f t="shared" si="0"/>
        <v>0</v>
      </c>
      <c r="L9" s="80">
        <f t="shared" si="1"/>
        <v>0</v>
      </c>
      <c r="M9" s="25">
        <f t="shared" si="2"/>
        <v>0</v>
      </c>
      <c r="O9" s="25"/>
      <c r="P9" s="25"/>
      <c r="Q9" s="80">
        <f t="shared" si="3"/>
        <v>0</v>
      </c>
      <c r="R9" s="97">
        <f t="shared" si="4"/>
        <v>0</v>
      </c>
      <c r="S9" s="97">
        <f t="shared" si="5"/>
        <v>0</v>
      </c>
      <c r="U9" s="71"/>
      <c r="V9" s="75"/>
      <c r="W9" s="75"/>
      <c r="X9" s="76"/>
    </row>
    <row r="10" spans="1:33">
      <c r="A10" s="16"/>
      <c r="B10" s="79">
        <v>2020</v>
      </c>
      <c r="C10" s="80"/>
      <c r="D10" s="80"/>
      <c r="E10" s="80"/>
      <c r="F10" s="80"/>
      <c r="G10" s="80"/>
      <c r="H10" s="80"/>
      <c r="I10" s="80"/>
      <c r="J10" s="80"/>
      <c r="K10" s="80">
        <f t="shared" si="0"/>
        <v>0</v>
      </c>
      <c r="L10" s="80">
        <f t="shared" si="1"/>
        <v>0</v>
      </c>
      <c r="M10" s="25">
        <f t="shared" si="2"/>
        <v>0</v>
      </c>
      <c r="O10" s="25"/>
      <c r="P10" s="25"/>
      <c r="Q10" s="80">
        <f t="shared" si="3"/>
        <v>0</v>
      </c>
      <c r="R10" s="97">
        <f t="shared" si="4"/>
        <v>0</v>
      </c>
      <c r="S10" s="97">
        <f t="shared" si="5"/>
        <v>0</v>
      </c>
      <c r="U10" s="71"/>
      <c r="V10" s="75"/>
      <c r="W10" s="75"/>
      <c r="X10" s="76"/>
    </row>
    <row r="11" spans="1:33">
      <c r="A11" s="16"/>
      <c r="B11" s="79">
        <v>2021</v>
      </c>
      <c r="C11" s="81">
        <v>1617000</v>
      </c>
      <c r="D11" s="80"/>
      <c r="E11" s="80"/>
      <c r="F11" s="80"/>
      <c r="G11" s="80"/>
      <c r="H11" s="80"/>
      <c r="I11" s="80"/>
      <c r="J11" s="80"/>
      <c r="K11" s="80">
        <f t="shared" si="0"/>
        <v>1617000</v>
      </c>
      <c r="L11" s="80">
        <f t="shared" si="1"/>
        <v>1233601.5578808482</v>
      </c>
      <c r="M11" s="25">
        <f t="shared" si="2"/>
        <v>1436683.5564796692</v>
      </c>
      <c r="O11" s="25"/>
      <c r="P11" s="25"/>
      <c r="Q11" s="80">
        <f t="shared" si="3"/>
        <v>0</v>
      </c>
      <c r="R11" s="97">
        <f t="shared" si="4"/>
        <v>0</v>
      </c>
      <c r="S11" s="97">
        <f t="shared" si="5"/>
        <v>0</v>
      </c>
    </row>
    <row r="12" spans="1:33">
      <c r="A12" s="16"/>
      <c r="B12" s="79">
        <v>2022</v>
      </c>
      <c r="C12" s="81">
        <f>C11</f>
        <v>1617000</v>
      </c>
      <c r="D12" s="81">
        <v>900000</v>
      </c>
      <c r="E12" s="81">
        <v>2150000</v>
      </c>
      <c r="F12" s="81">
        <v>685000</v>
      </c>
      <c r="G12" s="81">
        <v>812500</v>
      </c>
      <c r="H12" s="81">
        <v>375000</v>
      </c>
      <c r="I12" s="82">
        <v>3520000</v>
      </c>
      <c r="J12" s="83">
        <v>1440000</v>
      </c>
      <c r="K12" s="80">
        <f t="shared" si="0"/>
        <v>11499500</v>
      </c>
      <c r="L12" s="80">
        <f t="shared" si="1"/>
        <v>8198984.5709724445</v>
      </c>
      <c r="M12" s="25">
        <f t="shared" si="2"/>
        <v>9919569.7160256952</v>
      </c>
      <c r="O12" s="25"/>
      <c r="P12" s="25"/>
      <c r="Q12" s="80">
        <f t="shared" si="3"/>
        <v>0</v>
      </c>
      <c r="R12" s="97">
        <f t="shared" si="4"/>
        <v>0</v>
      </c>
      <c r="S12" s="97">
        <f t="shared" si="5"/>
        <v>0</v>
      </c>
      <c r="V12" s="222"/>
      <c r="W12" s="222"/>
      <c r="X12" s="222"/>
    </row>
    <row r="13" spans="1:33">
      <c r="A13" s="16"/>
      <c r="B13" s="79">
        <v>2023</v>
      </c>
      <c r="C13" s="80"/>
      <c r="D13" s="81">
        <f t="shared" ref="D13:J13" si="6">D12</f>
        <v>900000</v>
      </c>
      <c r="E13" s="81">
        <f t="shared" si="6"/>
        <v>2150000</v>
      </c>
      <c r="F13" s="81">
        <f t="shared" si="6"/>
        <v>685000</v>
      </c>
      <c r="G13" s="81">
        <f t="shared" si="6"/>
        <v>812500</v>
      </c>
      <c r="H13" s="81">
        <f t="shared" si="6"/>
        <v>375000</v>
      </c>
      <c r="I13" s="82">
        <f t="shared" si="6"/>
        <v>3520000</v>
      </c>
      <c r="J13" s="83">
        <f t="shared" si="6"/>
        <v>1440000</v>
      </c>
      <c r="K13" s="80">
        <f t="shared" si="0"/>
        <v>9882500</v>
      </c>
      <c r="L13" s="80">
        <f t="shared" si="1"/>
        <v>6585127.0268666847</v>
      </c>
      <c r="M13" s="25">
        <f t="shared" si="2"/>
        <v>8276438.1666762149</v>
      </c>
      <c r="O13" s="25">
        <v>50000</v>
      </c>
      <c r="P13" s="25">
        <v>200000</v>
      </c>
      <c r="Q13" s="80">
        <f t="shared" si="3"/>
        <v>250000</v>
      </c>
      <c r="R13" s="97">
        <f>ROUND(Q13/(1.07^(B13-2017)),0)</f>
        <v>166586</v>
      </c>
      <c r="S13" s="97">
        <f>ROUND(Q13/(1.03^(B13-2017)),0)</f>
        <v>209371</v>
      </c>
      <c r="U13" s="71"/>
      <c r="V13" s="68"/>
      <c r="W13" s="68"/>
      <c r="X13" s="68"/>
    </row>
    <row r="14" spans="1:33">
      <c r="A14" s="16"/>
      <c r="B14" s="79">
        <v>2024</v>
      </c>
      <c r="C14" s="80"/>
      <c r="D14" s="80"/>
      <c r="E14" s="80"/>
      <c r="F14" s="80"/>
      <c r="G14" s="80"/>
      <c r="H14" s="80"/>
      <c r="I14" s="80"/>
      <c r="J14" s="80"/>
      <c r="K14" s="80">
        <f t="shared" si="0"/>
        <v>0</v>
      </c>
      <c r="L14" s="80">
        <f t="shared" si="1"/>
        <v>0</v>
      </c>
      <c r="M14" s="25">
        <f t="shared" si="2"/>
        <v>0</v>
      </c>
      <c r="O14" s="25">
        <v>50000</v>
      </c>
      <c r="P14" s="25">
        <v>200000</v>
      </c>
      <c r="Q14" s="80">
        <f t="shared" si="3"/>
        <v>250000</v>
      </c>
      <c r="R14" s="97">
        <f t="shared" ref="R14:R37" si="7">ROUND(Q14/(1.07^(B14-2017)),0)</f>
        <v>155687</v>
      </c>
      <c r="S14" s="97">
        <f t="shared" ref="S14:S37" si="8">ROUND(Q14/(1.03^(B14-2017)),0)</f>
        <v>203273</v>
      </c>
      <c r="U14" s="71"/>
      <c r="V14" s="75"/>
      <c r="W14" s="75"/>
      <c r="X14" s="76"/>
    </row>
    <row r="15" spans="1:33">
      <c r="A15" s="16"/>
      <c r="B15" s="79">
        <v>2025</v>
      </c>
      <c r="C15" s="80"/>
      <c r="D15" s="80"/>
      <c r="E15" s="80"/>
      <c r="F15" s="80"/>
      <c r="G15" s="80"/>
      <c r="H15" s="80"/>
      <c r="I15" s="80"/>
      <c r="J15" s="80"/>
      <c r="K15" s="80">
        <f t="shared" si="0"/>
        <v>0</v>
      </c>
      <c r="L15" s="80">
        <f t="shared" si="1"/>
        <v>0</v>
      </c>
      <c r="M15" s="25">
        <f t="shared" si="2"/>
        <v>0</v>
      </c>
      <c r="O15" s="25">
        <v>50000</v>
      </c>
      <c r="P15" s="25">
        <v>200000</v>
      </c>
      <c r="Q15" s="80">
        <f t="shared" si="3"/>
        <v>250000</v>
      </c>
      <c r="R15" s="97">
        <f t="shared" si="7"/>
        <v>145502</v>
      </c>
      <c r="S15" s="97">
        <f t="shared" si="8"/>
        <v>197352</v>
      </c>
      <c r="U15" s="71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33">
      <c r="A16" s="16"/>
      <c r="B16" s="79">
        <v>2026</v>
      </c>
      <c r="C16" s="80"/>
      <c r="D16" s="80"/>
      <c r="E16" s="80"/>
      <c r="F16" s="80"/>
      <c r="G16" s="80"/>
      <c r="H16" s="80"/>
      <c r="I16" s="80"/>
      <c r="J16" s="80"/>
      <c r="K16" s="80">
        <f t="shared" si="0"/>
        <v>0</v>
      </c>
      <c r="L16" s="80">
        <f t="shared" si="1"/>
        <v>0</v>
      </c>
      <c r="M16" s="25">
        <f t="shared" si="2"/>
        <v>0</v>
      </c>
      <c r="O16" s="25">
        <v>50000</v>
      </c>
      <c r="P16" s="25">
        <v>200000</v>
      </c>
      <c r="Q16" s="84">
        <f t="shared" si="3"/>
        <v>250000</v>
      </c>
      <c r="R16" s="97">
        <f t="shared" si="7"/>
        <v>135983</v>
      </c>
      <c r="S16" s="97">
        <f t="shared" si="8"/>
        <v>191604</v>
      </c>
    </row>
    <row r="17" spans="1:19">
      <c r="A17" s="16"/>
      <c r="B17" s="79">
        <v>2027</v>
      </c>
      <c r="C17" s="80" t="s">
        <v>0</v>
      </c>
      <c r="D17" s="80"/>
      <c r="E17" s="80"/>
      <c r="F17" s="80"/>
      <c r="G17" s="80"/>
      <c r="H17" s="80"/>
      <c r="I17" s="80" t="s">
        <v>0</v>
      </c>
      <c r="J17" s="80"/>
      <c r="K17" s="80">
        <f t="shared" si="0"/>
        <v>0</v>
      </c>
      <c r="L17" s="80">
        <f t="shared" si="1"/>
        <v>0</v>
      </c>
      <c r="M17" s="25">
        <f t="shared" si="2"/>
        <v>0</v>
      </c>
      <c r="O17" s="25">
        <v>50000</v>
      </c>
      <c r="P17" s="25">
        <v>200000</v>
      </c>
      <c r="Q17" s="84">
        <f t="shared" si="3"/>
        <v>250000</v>
      </c>
      <c r="R17" s="97">
        <f t="shared" si="7"/>
        <v>127087</v>
      </c>
      <c r="S17" s="97">
        <f t="shared" si="8"/>
        <v>186023</v>
      </c>
    </row>
    <row r="18" spans="1:19">
      <c r="A18" s="16">
        <v>1</v>
      </c>
      <c r="B18" s="79">
        <v>2028</v>
      </c>
      <c r="C18" s="80"/>
      <c r="D18" s="80"/>
      <c r="E18" s="80"/>
      <c r="F18" s="80"/>
      <c r="G18" s="80"/>
      <c r="H18" s="80"/>
      <c r="I18" s="80"/>
      <c r="J18" s="80"/>
      <c r="K18" s="80">
        <f t="shared" si="0"/>
        <v>0</v>
      </c>
      <c r="L18" s="80">
        <f t="shared" si="1"/>
        <v>0</v>
      </c>
      <c r="M18" s="25">
        <f t="shared" si="2"/>
        <v>0</v>
      </c>
      <c r="O18" s="25">
        <v>50000</v>
      </c>
      <c r="P18" s="25">
        <v>200000</v>
      </c>
      <c r="Q18" s="84">
        <f t="shared" si="3"/>
        <v>250000</v>
      </c>
      <c r="R18" s="97">
        <f t="shared" si="7"/>
        <v>118773</v>
      </c>
      <c r="S18" s="97">
        <f t="shared" si="8"/>
        <v>180605</v>
      </c>
    </row>
    <row r="19" spans="1:19">
      <c r="A19" s="16">
        <f t="shared" ref="A19:A37" si="9">1+A18</f>
        <v>2</v>
      </c>
      <c r="B19" s="79">
        <v>2029</v>
      </c>
      <c r="C19" s="80"/>
      <c r="D19" s="80"/>
      <c r="E19" s="80"/>
      <c r="F19" s="80"/>
      <c r="G19" s="80"/>
      <c r="H19" s="80"/>
      <c r="I19" s="80"/>
      <c r="J19" s="80"/>
      <c r="K19" s="80">
        <f t="shared" si="0"/>
        <v>0</v>
      </c>
      <c r="L19" s="80">
        <f t="shared" si="1"/>
        <v>0</v>
      </c>
      <c r="M19" s="25">
        <f t="shared" si="2"/>
        <v>0</v>
      </c>
      <c r="O19" s="25">
        <v>50000</v>
      </c>
      <c r="P19" s="25">
        <v>200000</v>
      </c>
      <c r="Q19" s="84">
        <f t="shared" si="3"/>
        <v>250000</v>
      </c>
      <c r="R19" s="97">
        <f t="shared" si="7"/>
        <v>111003</v>
      </c>
      <c r="S19" s="97">
        <f t="shared" si="8"/>
        <v>175345</v>
      </c>
    </row>
    <row r="20" spans="1:19">
      <c r="A20" s="16">
        <f t="shared" si="9"/>
        <v>3</v>
      </c>
      <c r="B20" s="79">
        <v>2030</v>
      </c>
      <c r="C20" s="80"/>
      <c r="D20" s="80"/>
      <c r="E20" s="80"/>
      <c r="F20" s="80"/>
      <c r="G20" s="80"/>
      <c r="H20" s="80"/>
      <c r="I20" s="80"/>
      <c r="J20" s="80"/>
      <c r="K20" s="80">
        <f t="shared" si="0"/>
        <v>0</v>
      </c>
      <c r="L20" s="80">
        <f t="shared" si="1"/>
        <v>0</v>
      </c>
      <c r="M20" s="25">
        <f t="shared" si="2"/>
        <v>0</v>
      </c>
      <c r="O20" s="25">
        <v>50000</v>
      </c>
      <c r="P20" s="25">
        <v>200000</v>
      </c>
      <c r="Q20" s="84">
        <f t="shared" si="3"/>
        <v>250000</v>
      </c>
      <c r="R20" s="97">
        <f t="shared" si="7"/>
        <v>103741</v>
      </c>
      <c r="S20" s="97">
        <f t="shared" si="8"/>
        <v>170238</v>
      </c>
    </row>
    <row r="21" spans="1:19">
      <c r="A21" s="16">
        <f t="shared" si="9"/>
        <v>4</v>
      </c>
      <c r="B21" s="79">
        <v>2031</v>
      </c>
      <c r="C21" s="80"/>
      <c r="D21" s="80"/>
      <c r="E21" s="80"/>
      <c r="F21" s="80"/>
      <c r="G21" s="80"/>
      <c r="H21" s="80"/>
      <c r="I21" s="80"/>
      <c r="J21" s="80"/>
      <c r="K21" s="80">
        <f t="shared" si="0"/>
        <v>0</v>
      </c>
      <c r="L21" s="80">
        <f t="shared" si="1"/>
        <v>0</v>
      </c>
      <c r="M21" s="25">
        <f t="shared" si="2"/>
        <v>0</v>
      </c>
      <c r="O21" s="25">
        <v>50000</v>
      </c>
      <c r="P21" s="25">
        <v>200000</v>
      </c>
      <c r="Q21" s="84">
        <f t="shared" si="3"/>
        <v>250000</v>
      </c>
      <c r="R21" s="97">
        <f t="shared" si="7"/>
        <v>96954</v>
      </c>
      <c r="S21" s="97">
        <f t="shared" si="8"/>
        <v>165279</v>
      </c>
    </row>
    <row r="22" spans="1:19">
      <c r="A22" s="16">
        <f t="shared" si="9"/>
        <v>5</v>
      </c>
      <c r="B22" s="79">
        <v>2032</v>
      </c>
      <c r="C22" s="80"/>
      <c r="D22" s="80"/>
      <c r="E22" s="80"/>
      <c r="F22" s="80"/>
      <c r="G22" s="80"/>
      <c r="H22" s="80"/>
      <c r="I22" s="80"/>
      <c r="J22" s="80"/>
      <c r="K22" s="80">
        <f t="shared" si="0"/>
        <v>0</v>
      </c>
      <c r="L22" s="80">
        <f t="shared" si="1"/>
        <v>0</v>
      </c>
      <c r="M22" s="25">
        <f t="shared" si="2"/>
        <v>0</v>
      </c>
      <c r="O22" s="25">
        <v>50000</v>
      </c>
      <c r="P22" s="25">
        <v>200000</v>
      </c>
      <c r="Q22" s="84">
        <f t="shared" si="3"/>
        <v>250000</v>
      </c>
      <c r="R22" s="97">
        <f t="shared" si="7"/>
        <v>90612</v>
      </c>
      <c r="S22" s="97">
        <f t="shared" si="8"/>
        <v>160465</v>
      </c>
    </row>
    <row r="23" spans="1:19">
      <c r="A23" s="16">
        <f t="shared" si="9"/>
        <v>6</v>
      </c>
      <c r="B23" s="79">
        <v>2033</v>
      </c>
      <c r="C23" s="80"/>
      <c r="D23" s="80"/>
      <c r="E23" s="80"/>
      <c r="F23" s="80"/>
      <c r="G23" s="80"/>
      <c r="H23" s="80"/>
      <c r="I23" s="80"/>
      <c r="J23" s="80"/>
      <c r="K23" s="80">
        <f t="shared" si="0"/>
        <v>0</v>
      </c>
      <c r="L23" s="80">
        <f t="shared" si="1"/>
        <v>0</v>
      </c>
      <c r="M23" s="25">
        <f t="shared" si="2"/>
        <v>0</v>
      </c>
      <c r="O23" s="25">
        <v>50000</v>
      </c>
      <c r="P23" s="25">
        <v>200000</v>
      </c>
      <c r="Q23" s="84">
        <f t="shared" si="3"/>
        <v>250000</v>
      </c>
      <c r="R23" s="97">
        <f t="shared" si="7"/>
        <v>84684</v>
      </c>
      <c r="S23" s="97">
        <f t="shared" si="8"/>
        <v>155792</v>
      </c>
    </row>
    <row r="24" spans="1:19">
      <c r="A24" s="16">
        <f t="shared" si="9"/>
        <v>7</v>
      </c>
      <c r="B24" s="79">
        <v>2034</v>
      </c>
      <c r="C24" s="80"/>
      <c r="D24" s="80"/>
      <c r="E24" s="80"/>
      <c r="F24" s="80"/>
      <c r="G24" s="80"/>
      <c r="H24" s="80"/>
      <c r="I24" s="80"/>
      <c r="J24" s="80"/>
      <c r="K24" s="80">
        <f t="shared" si="0"/>
        <v>0</v>
      </c>
      <c r="L24" s="80">
        <f t="shared" si="1"/>
        <v>0</v>
      </c>
      <c r="M24" s="25">
        <f t="shared" si="2"/>
        <v>0</v>
      </c>
      <c r="O24" s="25">
        <v>50000</v>
      </c>
      <c r="P24" s="25">
        <v>200000</v>
      </c>
      <c r="Q24" s="84">
        <f t="shared" si="3"/>
        <v>250000</v>
      </c>
      <c r="R24" s="97">
        <f t="shared" si="7"/>
        <v>79144</v>
      </c>
      <c r="S24" s="97">
        <f t="shared" si="8"/>
        <v>151254</v>
      </c>
    </row>
    <row r="25" spans="1:19">
      <c r="A25" s="16">
        <f t="shared" si="9"/>
        <v>8</v>
      </c>
      <c r="B25" s="79">
        <v>2035</v>
      </c>
      <c r="C25" s="80"/>
      <c r="D25" s="80"/>
      <c r="E25" s="80"/>
      <c r="F25" s="80"/>
      <c r="G25" s="80"/>
      <c r="H25" s="80"/>
      <c r="I25" s="80"/>
      <c r="J25" s="80"/>
      <c r="K25" s="80">
        <f t="shared" si="0"/>
        <v>0</v>
      </c>
      <c r="L25" s="80">
        <f t="shared" si="1"/>
        <v>0</v>
      </c>
      <c r="M25" s="25">
        <f t="shared" si="2"/>
        <v>0</v>
      </c>
      <c r="O25" s="25">
        <v>50000</v>
      </c>
      <c r="P25" s="25">
        <v>200000</v>
      </c>
      <c r="Q25" s="84">
        <f t="shared" si="3"/>
        <v>250000</v>
      </c>
      <c r="R25" s="97">
        <f t="shared" si="7"/>
        <v>73966</v>
      </c>
      <c r="S25" s="97">
        <f t="shared" si="8"/>
        <v>146849</v>
      </c>
    </row>
    <row r="26" spans="1:19">
      <c r="A26" s="16">
        <f t="shared" si="9"/>
        <v>9</v>
      </c>
      <c r="B26" s="79">
        <v>2036</v>
      </c>
      <c r="C26" s="80"/>
      <c r="D26" s="80"/>
      <c r="E26" s="80"/>
      <c r="F26" s="80"/>
      <c r="G26" s="80"/>
      <c r="H26" s="80"/>
      <c r="I26" s="80"/>
      <c r="J26" s="80"/>
      <c r="K26" s="80">
        <f t="shared" si="0"/>
        <v>0</v>
      </c>
      <c r="L26" s="80">
        <f t="shared" si="1"/>
        <v>0</v>
      </c>
      <c r="M26" s="25">
        <f t="shared" si="2"/>
        <v>0</v>
      </c>
      <c r="O26" s="25">
        <v>50000</v>
      </c>
      <c r="P26" s="25">
        <v>200000</v>
      </c>
      <c r="Q26" s="84">
        <f t="shared" si="3"/>
        <v>250000</v>
      </c>
      <c r="R26" s="97">
        <f t="shared" si="7"/>
        <v>69127</v>
      </c>
      <c r="S26" s="97">
        <f t="shared" si="8"/>
        <v>142572</v>
      </c>
    </row>
    <row r="27" spans="1:19">
      <c r="A27" s="16">
        <f t="shared" si="9"/>
        <v>10</v>
      </c>
      <c r="B27" s="79">
        <v>2037</v>
      </c>
      <c r="C27" s="80"/>
      <c r="D27" s="80"/>
      <c r="E27" s="80"/>
      <c r="F27" s="80"/>
      <c r="G27" s="80"/>
      <c r="H27" s="80"/>
      <c r="I27" s="80"/>
      <c r="J27" s="80"/>
      <c r="K27" s="80">
        <f t="shared" si="0"/>
        <v>0</v>
      </c>
      <c r="L27" s="80">
        <f t="shared" si="1"/>
        <v>0</v>
      </c>
      <c r="M27" s="25">
        <f t="shared" si="2"/>
        <v>0</v>
      </c>
      <c r="O27" s="25">
        <v>50000</v>
      </c>
      <c r="P27" s="25">
        <v>200000</v>
      </c>
      <c r="Q27" s="84">
        <f t="shared" si="3"/>
        <v>250000</v>
      </c>
      <c r="R27" s="97">
        <f t="shared" si="7"/>
        <v>64605</v>
      </c>
      <c r="S27" s="97">
        <f t="shared" si="8"/>
        <v>138419</v>
      </c>
    </row>
    <row r="28" spans="1:19">
      <c r="A28" s="16">
        <f t="shared" si="9"/>
        <v>11</v>
      </c>
      <c r="B28" s="79">
        <v>2038</v>
      </c>
      <c r="C28" s="80"/>
      <c r="D28" s="80"/>
      <c r="E28" s="80"/>
      <c r="F28" s="80"/>
      <c r="G28" s="80"/>
      <c r="H28" s="80"/>
      <c r="I28" s="80"/>
      <c r="J28" s="80"/>
      <c r="K28" s="80">
        <f t="shared" si="0"/>
        <v>0</v>
      </c>
      <c r="L28" s="80">
        <f t="shared" si="1"/>
        <v>0</v>
      </c>
      <c r="M28" s="25">
        <f t="shared" si="2"/>
        <v>0</v>
      </c>
      <c r="O28" s="25">
        <v>50000</v>
      </c>
      <c r="P28" s="25">
        <v>200000</v>
      </c>
      <c r="Q28" s="84">
        <f t="shared" si="3"/>
        <v>250000</v>
      </c>
      <c r="R28" s="97">
        <f t="shared" si="7"/>
        <v>60378</v>
      </c>
      <c r="S28" s="97">
        <f t="shared" si="8"/>
        <v>134387</v>
      </c>
    </row>
    <row r="29" spans="1:19">
      <c r="A29" s="16">
        <f t="shared" si="9"/>
        <v>12</v>
      </c>
      <c r="B29" s="79">
        <v>2039</v>
      </c>
      <c r="C29" s="80"/>
      <c r="D29" s="80"/>
      <c r="E29" s="80"/>
      <c r="F29" s="80"/>
      <c r="G29" s="80"/>
      <c r="H29" s="80"/>
      <c r="I29" s="80"/>
      <c r="J29" s="80"/>
      <c r="K29" s="80">
        <f t="shared" si="0"/>
        <v>0</v>
      </c>
      <c r="L29" s="80">
        <f t="shared" si="1"/>
        <v>0</v>
      </c>
      <c r="M29" s="25">
        <f t="shared" si="2"/>
        <v>0</v>
      </c>
      <c r="O29" s="25">
        <v>50000</v>
      </c>
      <c r="P29" s="25">
        <v>200000</v>
      </c>
      <c r="Q29" s="84">
        <f t="shared" si="3"/>
        <v>250000</v>
      </c>
      <c r="R29" s="97">
        <f t="shared" si="7"/>
        <v>56428</v>
      </c>
      <c r="S29" s="97">
        <f t="shared" si="8"/>
        <v>130473</v>
      </c>
    </row>
    <row r="30" spans="1:19">
      <c r="A30" s="16">
        <f t="shared" si="9"/>
        <v>13</v>
      </c>
      <c r="B30" s="79">
        <v>2040</v>
      </c>
      <c r="C30" s="80"/>
      <c r="D30" s="80"/>
      <c r="E30" s="80"/>
      <c r="F30" s="80"/>
      <c r="G30" s="80"/>
      <c r="H30" s="80"/>
      <c r="I30" s="80"/>
      <c r="J30" s="80"/>
      <c r="K30" s="80">
        <f t="shared" si="0"/>
        <v>0</v>
      </c>
      <c r="L30" s="80">
        <f t="shared" si="1"/>
        <v>0</v>
      </c>
      <c r="M30" s="25">
        <f t="shared" si="2"/>
        <v>0</v>
      </c>
      <c r="O30" s="25">
        <v>50000</v>
      </c>
      <c r="P30" s="25">
        <v>200000</v>
      </c>
      <c r="Q30" s="84">
        <f t="shared" si="3"/>
        <v>250000</v>
      </c>
      <c r="R30" s="97">
        <f t="shared" si="7"/>
        <v>52737</v>
      </c>
      <c r="S30" s="97">
        <f t="shared" si="8"/>
        <v>126673</v>
      </c>
    </row>
    <row r="31" spans="1:19">
      <c r="A31" s="16">
        <f t="shared" si="9"/>
        <v>14</v>
      </c>
      <c r="B31" s="79">
        <v>2041</v>
      </c>
      <c r="C31" s="80"/>
      <c r="D31" s="80"/>
      <c r="E31" s="80"/>
      <c r="F31" s="80"/>
      <c r="G31" s="80"/>
      <c r="H31" s="80"/>
      <c r="I31" s="80"/>
      <c r="J31" s="80"/>
      <c r="K31" s="80">
        <f t="shared" si="0"/>
        <v>0</v>
      </c>
      <c r="L31" s="80">
        <f t="shared" si="1"/>
        <v>0</v>
      </c>
      <c r="M31" s="25">
        <f t="shared" si="2"/>
        <v>0</v>
      </c>
      <c r="O31" s="25">
        <v>50000</v>
      </c>
      <c r="P31" s="25">
        <v>200000</v>
      </c>
      <c r="Q31" s="84">
        <f t="shared" si="3"/>
        <v>250000</v>
      </c>
      <c r="R31" s="97">
        <f t="shared" si="7"/>
        <v>49287</v>
      </c>
      <c r="S31" s="97">
        <f t="shared" si="8"/>
        <v>122983</v>
      </c>
    </row>
    <row r="32" spans="1:19">
      <c r="A32" s="16">
        <f t="shared" si="9"/>
        <v>15</v>
      </c>
      <c r="B32" s="79">
        <v>2042</v>
      </c>
      <c r="C32" s="80"/>
      <c r="D32" s="80"/>
      <c r="E32" s="80"/>
      <c r="F32" s="80"/>
      <c r="G32" s="80"/>
      <c r="H32" s="80"/>
      <c r="I32" s="80"/>
      <c r="J32" s="80"/>
      <c r="K32" s="80">
        <f t="shared" si="0"/>
        <v>0</v>
      </c>
      <c r="L32" s="80">
        <f t="shared" si="1"/>
        <v>0</v>
      </c>
      <c r="M32" s="25">
        <f t="shared" si="2"/>
        <v>0</v>
      </c>
      <c r="O32" s="25">
        <v>50000</v>
      </c>
      <c r="P32" s="25">
        <v>200000</v>
      </c>
      <c r="Q32" s="84">
        <f t="shared" si="3"/>
        <v>250000</v>
      </c>
      <c r="R32" s="97">
        <f t="shared" si="7"/>
        <v>46062</v>
      </c>
      <c r="S32" s="97">
        <f t="shared" si="8"/>
        <v>119401</v>
      </c>
    </row>
    <row r="33" spans="1:24">
      <c r="A33" s="16">
        <f t="shared" si="9"/>
        <v>16</v>
      </c>
      <c r="B33" s="79">
        <v>2043</v>
      </c>
      <c r="C33" s="80"/>
      <c r="D33" s="80"/>
      <c r="E33" s="80"/>
      <c r="F33" s="80"/>
      <c r="G33" s="80"/>
      <c r="H33" s="80"/>
      <c r="I33" s="80"/>
      <c r="J33" s="80"/>
      <c r="K33" s="80">
        <f t="shared" si="0"/>
        <v>0</v>
      </c>
      <c r="L33" s="80">
        <f t="shared" si="1"/>
        <v>0</v>
      </c>
      <c r="M33" s="25">
        <f t="shared" si="2"/>
        <v>0</v>
      </c>
      <c r="O33" s="25">
        <v>50000</v>
      </c>
      <c r="P33" s="25">
        <v>200000</v>
      </c>
      <c r="Q33" s="84">
        <f t="shared" si="3"/>
        <v>250000</v>
      </c>
      <c r="R33" s="97">
        <f t="shared" si="7"/>
        <v>43049</v>
      </c>
      <c r="S33" s="97">
        <f t="shared" si="8"/>
        <v>115924</v>
      </c>
    </row>
    <row r="34" spans="1:24">
      <c r="A34" s="16">
        <f t="shared" si="9"/>
        <v>17</v>
      </c>
      <c r="B34" s="79">
        <v>2044</v>
      </c>
      <c r="C34" s="80"/>
      <c r="D34" s="80"/>
      <c r="E34" s="80"/>
      <c r="F34" s="80"/>
      <c r="G34" s="80"/>
      <c r="H34" s="80"/>
      <c r="I34" s="80"/>
      <c r="J34" s="80"/>
      <c r="K34" s="80">
        <f t="shared" si="0"/>
        <v>0</v>
      </c>
      <c r="L34" s="80">
        <f t="shared" si="1"/>
        <v>0</v>
      </c>
      <c r="M34" s="25">
        <f t="shared" si="2"/>
        <v>0</v>
      </c>
      <c r="O34" s="25">
        <v>50000</v>
      </c>
      <c r="P34" s="25">
        <v>200000</v>
      </c>
      <c r="Q34" s="84">
        <f t="shared" si="3"/>
        <v>250000</v>
      </c>
      <c r="R34" s="97">
        <f t="shared" si="7"/>
        <v>40233</v>
      </c>
      <c r="S34" s="97">
        <f t="shared" si="8"/>
        <v>112547</v>
      </c>
      <c r="V34" s="77"/>
      <c r="W34" s="77"/>
      <c r="X34" s="78"/>
    </row>
    <row r="35" spans="1:24">
      <c r="A35" s="16">
        <f t="shared" si="9"/>
        <v>18</v>
      </c>
      <c r="B35" s="79">
        <v>2045</v>
      </c>
      <c r="C35" s="80"/>
      <c r="D35" s="80"/>
      <c r="E35" s="80"/>
      <c r="F35" s="80"/>
      <c r="G35" s="80"/>
      <c r="H35" s="80"/>
      <c r="I35" s="80"/>
      <c r="J35" s="80"/>
      <c r="K35" s="80">
        <f t="shared" si="0"/>
        <v>0</v>
      </c>
      <c r="L35" s="80">
        <f t="shared" si="1"/>
        <v>0</v>
      </c>
      <c r="M35" s="25">
        <f t="shared" si="2"/>
        <v>0</v>
      </c>
      <c r="O35" s="25">
        <v>50000</v>
      </c>
      <c r="P35" s="25">
        <v>200000</v>
      </c>
      <c r="Q35" s="84">
        <f t="shared" si="3"/>
        <v>250000</v>
      </c>
      <c r="R35" s="97">
        <f t="shared" si="7"/>
        <v>37601</v>
      </c>
      <c r="S35" s="97">
        <f t="shared" si="8"/>
        <v>109269</v>
      </c>
    </row>
    <row r="36" spans="1:24">
      <c r="A36" s="16">
        <f t="shared" si="9"/>
        <v>19</v>
      </c>
      <c r="B36" s="79">
        <v>2046</v>
      </c>
      <c r="C36" s="80"/>
      <c r="D36" s="80"/>
      <c r="E36" s="80"/>
      <c r="F36" s="80"/>
      <c r="G36" s="80"/>
      <c r="H36" s="80"/>
      <c r="I36" s="80"/>
      <c r="J36" s="80"/>
      <c r="K36" s="80">
        <f t="shared" si="0"/>
        <v>0</v>
      </c>
      <c r="L36" s="80">
        <f t="shared" si="1"/>
        <v>0</v>
      </c>
      <c r="M36" s="25">
        <f t="shared" si="2"/>
        <v>0</v>
      </c>
      <c r="O36" s="25">
        <v>50000</v>
      </c>
      <c r="P36" s="25">
        <v>200000</v>
      </c>
      <c r="Q36" s="84">
        <f t="shared" si="3"/>
        <v>250000</v>
      </c>
      <c r="R36" s="97">
        <f t="shared" si="7"/>
        <v>35141</v>
      </c>
      <c r="S36" s="97">
        <f t="shared" si="8"/>
        <v>106087</v>
      </c>
    </row>
    <row r="37" spans="1:24" ht="15.75" thickBot="1">
      <c r="A37" s="16">
        <f t="shared" si="9"/>
        <v>20</v>
      </c>
      <c r="B37" s="79">
        <v>2047</v>
      </c>
      <c r="C37" s="80"/>
      <c r="D37" s="80"/>
      <c r="E37" s="80"/>
      <c r="F37" s="80"/>
      <c r="G37" s="80"/>
      <c r="H37" s="80"/>
      <c r="I37" s="80"/>
      <c r="J37" s="80"/>
      <c r="K37" s="80">
        <f t="shared" si="0"/>
        <v>0</v>
      </c>
      <c r="L37" s="80">
        <f t="shared" si="1"/>
        <v>0</v>
      </c>
      <c r="M37" s="25">
        <f t="shared" si="2"/>
        <v>0</v>
      </c>
      <c r="O37" s="25">
        <v>50000</v>
      </c>
      <c r="P37" s="25">
        <v>200000</v>
      </c>
      <c r="Q37" s="84">
        <f t="shared" si="3"/>
        <v>250000</v>
      </c>
      <c r="R37" s="97">
        <f t="shared" si="7"/>
        <v>32842</v>
      </c>
      <c r="S37" s="97">
        <f t="shared" si="8"/>
        <v>102997</v>
      </c>
    </row>
    <row r="38" spans="1:24" ht="15.75" thickBot="1">
      <c r="A38" s="16"/>
      <c r="B38" s="85" t="s">
        <v>350</v>
      </c>
      <c r="C38" s="86">
        <f t="shared" ref="C38:M38" si="10">SUM(C5:C37)</f>
        <v>3234000</v>
      </c>
      <c r="D38" s="86">
        <f t="shared" si="10"/>
        <v>1800000</v>
      </c>
      <c r="E38" s="86">
        <f t="shared" si="10"/>
        <v>4300000</v>
      </c>
      <c r="F38" s="86">
        <f t="shared" si="10"/>
        <v>1370000</v>
      </c>
      <c r="G38" s="86">
        <f t="shared" si="10"/>
        <v>1625000</v>
      </c>
      <c r="H38" s="86">
        <f t="shared" si="10"/>
        <v>750000</v>
      </c>
      <c r="I38" s="86">
        <f t="shared" si="10"/>
        <v>7040000</v>
      </c>
      <c r="J38" s="86">
        <f t="shared" si="10"/>
        <v>2880000</v>
      </c>
      <c r="K38" s="86">
        <f t="shared" si="10"/>
        <v>22999000</v>
      </c>
      <c r="L38" s="86">
        <f t="shared" si="10"/>
        <v>16017713.155719977</v>
      </c>
      <c r="M38" s="86">
        <f t="shared" si="10"/>
        <v>19632691.439181581</v>
      </c>
      <c r="O38" s="87">
        <f t="shared" ref="O38:S38" si="11">SUM(O18:O37)</f>
        <v>1000000</v>
      </c>
      <c r="P38" s="87">
        <f t="shared" si="11"/>
        <v>4000000</v>
      </c>
      <c r="Q38" s="87">
        <f t="shared" si="11"/>
        <v>5000000</v>
      </c>
      <c r="R38" s="87">
        <f t="shared" si="11"/>
        <v>1346367</v>
      </c>
      <c r="S38" s="87">
        <f t="shared" si="11"/>
        <v>2767559</v>
      </c>
    </row>
    <row r="39" spans="1:24">
      <c r="A39" s="16"/>
    </row>
    <row r="44" spans="1:24">
      <c r="O44" s="88" t="s">
        <v>357</v>
      </c>
      <c r="P44" s="88"/>
      <c r="Q44" s="88"/>
    </row>
  </sheetData>
  <sheetProtection algorithmName="SHA-512" hashValue="utigfkPLxZlH4lMhmRTqfxPHZbcuK6oVATGp/wjGVhBVVlGC0Lm6AIthN4LrysvpDGrUcJMepumpHLG+RAVavQ==" saltValue="qmC2mQmL9FDElI0jx0hetg==" spinCount="100000" sheet="1" objects="1" scenarios="1"/>
  <mergeCells count="5">
    <mergeCell ref="V2:X2"/>
    <mergeCell ref="AA2:AC2"/>
    <mergeCell ref="AE2:AG2"/>
    <mergeCell ref="V7:X7"/>
    <mergeCell ref="V12:X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5E09-59EC-405B-9465-092295873C0B}">
  <sheetPr>
    <tabColor theme="0"/>
  </sheetPr>
  <dimension ref="A1:J36"/>
  <sheetViews>
    <sheetView workbookViewId="0">
      <selection activeCell="H14" sqref="H14"/>
    </sheetView>
  </sheetViews>
  <sheetFormatPr defaultRowHeight="15"/>
  <cols>
    <col min="2" max="2" width="51.42578125" customWidth="1"/>
    <col min="3" max="3" width="22.85546875" customWidth="1"/>
    <col min="4" max="4" width="9.42578125" customWidth="1"/>
    <col min="5" max="5" width="13.7109375" customWidth="1"/>
    <col min="6" max="6" width="19.28515625" customWidth="1"/>
    <col min="7" max="7" width="17.42578125" customWidth="1"/>
    <col min="8" max="8" width="16.7109375" customWidth="1"/>
    <col min="9" max="9" width="30.7109375" customWidth="1"/>
    <col min="10" max="10" width="66.7109375" customWidth="1"/>
  </cols>
  <sheetData>
    <row r="1" spans="1:10">
      <c r="C1" s="35"/>
      <c r="D1" s="35"/>
      <c r="E1" s="35"/>
      <c r="F1" s="35"/>
      <c r="G1" s="35"/>
      <c r="H1" s="35"/>
      <c r="I1" s="35"/>
      <c r="J1" s="35"/>
    </row>
    <row r="2" spans="1:10">
      <c r="C2" s="35"/>
      <c r="D2" s="35"/>
      <c r="E2" s="35"/>
      <c r="F2" s="35"/>
      <c r="G2" s="35"/>
      <c r="H2" s="35"/>
      <c r="I2" s="35"/>
      <c r="J2" s="35"/>
    </row>
    <row r="3" spans="1:10">
      <c r="C3" s="35"/>
      <c r="D3" s="35"/>
      <c r="E3" s="36"/>
      <c r="F3" s="35"/>
      <c r="G3" s="37" t="s">
        <v>292</v>
      </c>
      <c r="I3" s="38" t="s">
        <v>0</v>
      </c>
      <c r="J3" s="35"/>
    </row>
    <row r="4" spans="1:10" ht="17.25">
      <c r="B4" s="39" t="s">
        <v>293</v>
      </c>
      <c r="C4" s="40" t="s">
        <v>294</v>
      </c>
      <c r="D4" s="40" t="s">
        <v>295</v>
      </c>
      <c r="E4" s="41" t="s">
        <v>296</v>
      </c>
      <c r="F4" s="41" t="s">
        <v>297</v>
      </c>
      <c r="G4" s="41" t="s">
        <v>298</v>
      </c>
      <c r="H4" s="42" t="s">
        <v>299</v>
      </c>
      <c r="I4" s="40" t="s">
        <v>300</v>
      </c>
      <c r="J4" s="40" t="s">
        <v>301</v>
      </c>
    </row>
    <row r="5" spans="1:10" s="47" customFormat="1" ht="20.25">
      <c r="A5" s="43" t="s">
        <v>302</v>
      </c>
      <c r="B5" s="44"/>
      <c r="C5" s="45"/>
      <c r="D5" s="45"/>
      <c r="E5" s="46"/>
      <c r="F5" s="45"/>
      <c r="G5" s="45"/>
      <c r="H5" s="46"/>
      <c r="I5" s="45"/>
      <c r="J5" s="45"/>
    </row>
    <row r="6" spans="1:10">
      <c r="A6" s="48"/>
      <c r="B6" t="s">
        <v>303</v>
      </c>
      <c r="C6" s="35"/>
      <c r="D6" s="49"/>
      <c r="E6" s="36"/>
      <c r="F6" s="50" t="s">
        <v>0</v>
      </c>
      <c r="G6" s="35"/>
      <c r="H6" s="35"/>
      <c r="I6" s="35"/>
      <c r="J6" s="35"/>
    </row>
    <row r="7" spans="1:10">
      <c r="B7" s="51" t="s">
        <v>304</v>
      </c>
      <c r="C7" s="35">
        <v>1200000</v>
      </c>
      <c r="D7" s="49">
        <v>1</v>
      </c>
      <c r="E7" s="36" t="s">
        <v>305</v>
      </c>
      <c r="F7" s="52" t="s">
        <v>306</v>
      </c>
      <c r="G7" s="35">
        <f>C7*D7</f>
        <v>1200000</v>
      </c>
      <c r="H7" s="35"/>
      <c r="I7" s="35" t="s">
        <v>0</v>
      </c>
      <c r="J7" s="35" t="s">
        <v>307</v>
      </c>
    </row>
    <row r="8" spans="1:10">
      <c r="B8" s="51" t="s">
        <v>308</v>
      </c>
      <c r="C8" s="35">
        <v>600000</v>
      </c>
      <c r="D8" s="49">
        <v>1</v>
      </c>
      <c r="E8" s="36" t="s">
        <v>305</v>
      </c>
      <c r="F8" s="52" t="s">
        <v>306</v>
      </c>
      <c r="G8" s="35">
        <f>C8*D8</f>
        <v>600000</v>
      </c>
      <c r="H8" s="35"/>
      <c r="I8" s="35" t="s">
        <v>0</v>
      </c>
      <c r="J8" s="35" t="s">
        <v>307</v>
      </c>
    </row>
    <row r="9" spans="1:10">
      <c r="B9" s="51"/>
      <c r="C9" s="35"/>
      <c r="D9" s="49"/>
      <c r="E9" s="36"/>
      <c r="F9" s="52"/>
      <c r="G9" s="35"/>
      <c r="H9" s="53">
        <f>SUM(G7:G8)</f>
        <v>1800000</v>
      </c>
      <c r="I9" s="35"/>
      <c r="J9" s="35"/>
    </row>
    <row r="10" spans="1:10">
      <c r="B10" s="51" t="s">
        <v>309</v>
      </c>
      <c r="C10" s="35">
        <v>77000</v>
      </c>
      <c r="D10" s="49">
        <v>23</v>
      </c>
      <c r="E10" s="36" t="s">
        <v>310</v>
      </c>
      <c r="F10" s="52" t="s">
        <v>311</v>
      </c>
      <c r="G10" s="35">
        <f>C10*D10</f>
        <v>1771000</v>
      </c>
      <c r="H10" s="54"/>
      <c r="I10" s="35" t="s">
        <v>0</v>
      </c>
      <c r="J10" s="35" t="s">
        <v>312</v>
      </c>
    </row>
    <row r="11" spans="1:10">
      <c r="B11" s="51" t="s">
        <v>313</v>
      </c>
      <c r="C11" s="35">
        <v>77000</v>
      </c>
      <c r="D11" s="49">
        <v>19</v>
      </c>
      <c r="E11" s="36" t="s">
        <v>310</v>
      </c>
      <c r="F11" s="52" t="s">
        <v>311</v>
      </c>
      <c r="G11" s="35">
        <f>C11*D11</f>
        <v>1463000</v>
      </c>
      <c r="H11" s="54"/>
      <c r="I11" s="35" t="s">
        <v>0</v>
      </c>
      <c r="J11" s="35" t="s">
        <v>312</v>
      </c>
    </row>
    <row r="12" spans="1:10">
      <c r="B12" s="51" t="s">
        <v>314</v>
      </c>
      <c r="C12" s="35"/>
      <c r="D12" s="49"/>
      <c r="E12" s="36"/>
      <c r="F12" s="35"/>
      <c r="G12" s="35"/>
      <c r="H12" s="53">
        <f>SUM(G10:G11)</f>
        <v>3234000</v>
      </c>
      <c r="I12" s="35" t="s">
        <v>315</v>
      </c>
      <c r="J12" s="35"/>
    </row>
    <row r="13" spans="1:10">
      <c r="C13" s="35"/>
      <c r="D13" s="49"/>
      <c r="E13" s="36"/>
      <c r="F13" s="35"/>
      <c r="G13" s="35"/>
      <c r="H13" s="54"/>
      <c r="I13" s="35"/>
      <c r="J13" s="35"/>
    </row>
    <row r="14" spans="1:10">
      <c r="B14" t="s">
        <v>316</v>
      </c>
      <c r="C14" s="35">
        <f>C11*1.8</f>
        <v>138600</v>
      </c>
      <c r="D14" s="49">
        <v>31</v>
      </c>
      <c r="E14" s="36" t="s">
        <v>310</v>
      </c>
      <c r="F14" s="35">
        <f>C14*30</f>
        <v>4158000</v>
      </c>
      <c r="G14" s="35" t="s">
        <v>0</v>
      </c>
      <c r="H14" s="53">
        <v>4300000</v>
      </c>
      <c r="I14" s="35" t="s">
        <v>317</v>
      </c>
      <c r="J14" s="35" t="s">
        <v>318</v>
      </c>
    </row>
    <row r="15" spans="1:10" s="47" customFormat="1" ht="20.25">
      <c r="A15" s="43" t="s">
        <v>319</v>
      </c>
      <c r="B15" s="44"/>
      <c r="C15" s="45"/>
      <c r="D15" s="45"/>
      <c r="E15" s="46"/>
      <c r="F15" s="45"/>
      <c r="G15" s="45"/>
      <c r="H15" s="55"/>
      <c r="I15" s="45"/>
      <c r="J15" s="45"/>
    </row>
    <row r="16" spans="1:10">
      <c r="B16" t="s">
        <v>320</v>
      </c>
      <c r="C16" s="35">
        <v>137000</v>
      </c>
      <c r="D16" s="49">
        <v>10</v>
      </c>
      <c r="E16" s="36" t="s">
        <v>321</v>
      </c>
      <c r="F16" s="52" t="s">
        <v>306</v>
      </c>
      <c r="G16" s="35">
        <f>C16*D16</f>
        <v>1370000</v>
      </c>
      <c r="H16" s="53">
        <v>1370000</v>
      </c>
      <c r="I16" s="35" t="s">
        <v>322</v>
      </c>
      <c r="J16" s="35" t="s">
        <v>323</v>
      </c>
    </row>
    <row r="17" spans="1:10" s="47" customFormat="1" ht="20.25">
      <c r="A17" s="43" t="s">
        <v>324</v>
      </c>
      <c r="B17" s="44"/>
      <c r="C17" s="45"/>
      <c r="D17" s="45"/>
      <c r="E17" s="46"/>
      <c r="F17" s="45"/>
      <c r="G17" s="45"/>
      <c r="H17" s="55"/>
      <c r="I17" s="45"/>
      <c r="J17" s="45"/>
    </row>
    <row r="18" spans="1:10">
      <c r="B18" t="s">
        <v>325</v>
      </c>
      <c r="C18" s="35">
        <v>325000</v>
      </c>
      <c r="D18" s="49">
        <v>5</v>
      </c>
      <c r="E18" s="36" t="s">
        <v>321</v>
      </c>
      <c r="F18" s="52" t="s">
        <v>306</v>
      </c>
      <c r="G18" s="35">
        <f>C18*D18</f>
        <v>1625000</v>
      </c>
      <c r="H18" s="53">
        <v>1625000</v>
      </c>
      <c r="I18" s="35" t="s">
        <v>322</v>
      </c>
      <c r="J18" s="35" t="s">
        <v>323</v>
      </c>
    </row>
    <row r="19" spans="1:10" s="47" customFormat="1" ht="20.25">
      <c r="A19" s="43" t="s">
        <v>302</v>
      </c>
      <c r="B19" s="44"/>
      <c r="C19" s="45"/>
      <c r="D19" s="45"/>
      <c r="E19" s="46"/>
      <c r="F19" s="45"/>
      <c r="G19" s="45"/>
      <c r="H19" s="55"/>
      <c r="I19" s="45"/>
      <c r="J19" s="45"/>
    </row>
    <row r="20" spans="1:10">
      <c r="B20" t="s">
        <v>326</v>
      </c>
      <c r="C20" s="35">
        <v>110000</v>
      </c>
      <c r="D20" s="56">
        <f>160*0.4</f>
        <v>64</v>
      </c>
      <c r="E20" s="36" t="s">
        <v>310</v>
      </c>
      <c r="F20" s="52" t="s">
        <v>306</v>
      </c>
      <c r="G20" s="35">
        <f>C20*D20</f>
        <v>7040000</v>
      </c>
      <c r="H20" s="57">
        <v>7040000</v>
      </c>
      <c r="I20" s="35" t="s">
        <v>327</v>
      </c>
      <c r="J20" s="35" t="s">
        <v>328</v>
      </c>
    </row>
    <row r="21" spans="1:10" s="47" customFormat="1" ht="20.25">
      <c r="A21" s="43" t="s">
        <v>302</v>
      </c>
      <c r="B21" s="44"/>
      <c r="C21" s="45"/>
      <c r="D21" s="45"/>
      <c r="E21" s="46"/>
      <c r="F21" s="45"/>
      <c r="G21" s="45"/>
      <c r="H21" s="55"/>
      <c r="I21" s="45"/>
      <c r="J21" s="45"/>
    </row>
    <row r="22" spans="1:10">
      <c r="B22" t="s">
        <v>329</v>
      </c>
      <c r="C22" s="35">
        <v>18000</v>
      </c>
      <c r="D22" s="49">
        <v>160</v>
      </c>
      <c r="E22" s="36" t="s">
        <v>310</v>
      </c>
      <c r="F22" s="52" t="s">
        <v>306</v>
      </c>
      <c r="G22" s="35">
        <f>C22*D22</f>
        <v>2880000</v>
      </c>
      <c r="H22" s="58">
        <v>2880000</v>
      </c>
      <c r="I22" s="35" t="s">
        <v>330</v>
      </c>
      <c r="J22" s="35" t="s">
        <v>312</v>
      </c>
    </row>
    <row r="23" spans="1:10">
      <c r="C23" s="35"/>
      <c r="D23" s="49"/>
      <c r="E23" s="36"/>
      <c r="F23" s="35"/>
      <c r="G23" s="35"/>
      <c r="H23" s="54"/>
      <c r="I23" s="35"/>
      <c r="J23" s="35"/>
    </row>
    <row r="24" spans="1:10" s="47" customFormat="1" ht="20.25">
      <c r="A24" s="43" t="s">
        <v>331</v>
      </c>
      <c r="B24" s="44"/>
      <c r="C24" s="45"/>
      <c r="D24" s="45"/>
      <c r="E24" s="46"/>
      <c r="F24" s="45"/>
      <c r="G24" s="45"/>
      <c r="H24" s="55"/>
      <c r="I24" s="45"/>
      <c r="J24" s="45"/>
    </row>
    <row r="25" spans="1:10">
      <c r="B25" t="s">
        <v>332</v>
      </c>
      <c r="C25" s="35">
        <v>0</v>
      </c>
      <c r="D25" s="49">
        <v>1</v>
      </c>
      <c r="E25" s="36" t="s">
        <v>305</v>
      </c>
      <c r="F25" s="52" t="s">
        <v>306</v>
      </c>
      <c r="G25" s="35"/>
      <c r="H25" s="53">
        <v>650000</v>
      </c>
      <c r="I25" s="35" t="s">
        <v>330</v>
      </c>
      <c r="J25" s="35" t="s">
        <v>333</v>
      </c>
    </row>
    <row r="26" spans="1:10">
      <c r="B26" s="51" t="s">
        <v>334</v>
      </c>
      <c r="C26" s="35">
        <v>5000</v>
      </c>
      <c r="D26" s="49">
        <v>20</v>
      </c>
      <c r="E26" s="36" t="s">
        <v>335</v>
      </c>
      <c r="F26" s="52" t="s">
        <v>306</v>
      </c>
      <c r="G26" s="35">
        <f>C26*D26</f>
        <v>100000</v>
      </c>
      <c r="H26" s="53">
        <v>100000</v>
      </c>
      <c r="I26" s="35" t="s">
        <v>330</v>
      </c>
      <c r="J26" s="35" t="s">
        <v>336</v>
      </c>
    </row>
    <row r="27" spans="1:10">
      <c r="B27" s="51" t="s">
        <v>0</v>
      </c>
      <c r="E27" s="59"/>
      <c r="F27" s="35"/>
      <c r="G27" s="35">
        <f>C25*D25</f>
        <v>0</v>
      </c>
      <c r="H27" s="54"/>
      <c r="I27" s="35"/>
      <c r="J27" s="35"/>
    </row>
    <row r="28" spans="1:10">
      <c r="C28" s="35"/>
      <c r="D28" s="49"/>
      <c r="E28" s="36"/>
      <c r="F28" s="35"/>
      <c r="G28" s="35"/>
      <c r="H28" s="54"/>
      <c r="I28" s="35"/>
      <c r="J28" s="35"/>
    </row>
    <row r="29" spans="1:10" ht="17.25">
      <c r="C29" s="35"/>
      <c r="D29" s="35"/>
      <c r="G29" s="40" t="s">
        <v>337</v>
      </c>
      <c r="H29" s="60">
        <f>SUM(H7:H27)</f>
        <v>22999000</v>
      </c>
      <c r="I29" s="35"/>
      <c r="J29" s="35"/>
    </row>
    <row r="31" spans="1:10" ht="17.25">
      <c r="G31" s="61" t="s">
        <v>338</v>
      </c>
      <c r="H31" s="60">
        <v>23000000</v>
      </c>
    </row>
    <row r="32" spans="1:10">
      <c r="I32" t="s">
        <v>0</v>
      </c>
    </row>
    <row r="33" spans="6:9">
      <c r="F33" t="s">
        <v>0</v>
      </c>
      <c r="I33" s="62" t="s">
        <v>0</v>
      </c>
    </row>
    <row r="34" spans="6:9">
      <c r="G34" s="51" t="s">
        <v>0</v>
      </c>
      <c r="H34" s="63" t="s">
        <v>0</v>
      </c>
    </row>
    <row r="36" spans="6:9">
      <c r="G36" t="s">
        <v>0</v>
      </c>
    </row>
  </sheetData>
  <sheetProtection algorithmName="SHA-512" hashValue="XH88+rEd36/uNja8njvmCiJdgRTX73i0gK5oEdnVn8PrFJpKnUwmTzsAmTu/jguGej3xiTmqR9Sib7aq8vx3JA==" saltValue="7OI4QNcGzXyT6V9gi8cup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361C-623A-40BB-AC85-41C593625596}">
  <sheetPr>
    <tabColor rgb="FF00B050"/>
  </sheetPr>
  <dimension ref="B3:J43"/>
  <sheetViews>
    <sheetView workbookViewId="0">
      <selection activeCell="G37" sqref="G37"/>
    </sheetView>
  </sheetViews>
  <sheetFormatPr defaultRowHeight="15"/>
  <cols>
    <col min="3" max="3" width="18.42578125" customWidth="1"/>
    <col min="4" max="4" width="20.42578125" customWidth="1"/>
    <col min="5" max="5" width="21.42578125" customWidth="1"/>
    <col min="6" max="6" width="22.28515625" customWidth="1"/>
    <col min="7" max="7" width="18.7109375" customWidth="1"/>
  </cols>
  <sheetData>
    <row r="3" spans="2:7" ht="15.75" thickBot="1">
      <c r="F3" s="89">
        <v>7.0000000000000007E-2</v>
      </c>
      <c r="G3" s="89">
        <v>0.03</v>
      </c>
    </row>
    <row r="4" spans="2:7" ht="30">
      <c r="B4" s="90" t="s">
        <v>358</v>
      </c>
      <c r="C4" s="91" t="s">
        <v>359</v>
      </c>
      <c r="D4" s="91" t="s">
        <v>360</v>
      </c>
      <c r="E4" s="92" t="s">
        <v>361</v>
      </c>
      <c r="F4" s="93" t="s">
        <v>362</v>
      </c>
      <c r="G4" s="93" t="s">
        <v>362</v>
      </c>
    </row>
    <row r="5" spans="2:7" hidden="1">
      <c r="B5" s="94">
        <v>2010</v>
      </c>
      <c r="C5" s="95"/>
      <c r="D5" s="95"/>
      <c r="E5" s="96">
        <v>0</v>
      </c>
      <c r="F5" s="97">
        <f t="shared" ref="F5:F42" si="0">ROUND(E5/(1.07^(B5-2017)),0)</f>
        <v>0</v>
      </c>
      <c r="G5" s="97">
        <f t="shared" ref="G5:G42" si="1">ROUND(E5/(1.03^(B5-2017)),0)</f>
        <v>0</v>
      </c>
    </row>
    <row r="6" spans="2:7" hidden="1">
      <c r="B6" s="94">
        <v>2011</v>
      </c>
      <c r="C6" s="95"/>
      <c r="D6" s="95"/>
      <c r="E6" s="96">
        <v>0</v>
      </c>
      <c r="F6" s="97">
        <f t="shared" si="0"/>
        <v>0</v>
      </c>
      <c r="G6" s="97">
        <f t="shared" si="1"/>
        <v>0</v>
      </c>
    </row>
    <row r="7" spans="2:7" hidden="1">
      <c r="B7" s="94">
        <v>2012</v>
      </c>
      <c r="C7" s="95"/>
      <c r="D7" s="95"/>
      <c r="E7" s="96">
        <v>0</v>
      </c>
      <c r="F7" s="97">
        <f t="shared" si="0"/>
        <v>0</v>
      </c>
      <c r="G7" s="97">
        <f t="shared" si="1"/>
        <v>0</v>
      </c>
    </row>
    <row r="8" spans="2:7" hidden="1">
      <c r="B8" s="94">
        <v>2013</v>
      </c>
      <c r="C8" s="95"/>
      <c r="D8" s="95"/>
      <c r="E8" s="96">
        <v>0</v>
      </c>
      <c r="F8" s="97">
        <f t="shared" si="0"/>
        <v>0</v>
      </c>
      <c r="G8" s="97">
        <f t="shared" si="1"/>
        <v>0</v>
      </c>
    </row>
    <row r="9" spans="2:7" hidden="1">
      <c r="B9" s="94">
        <v>2014</v>
      </c>
      <c r="C9" s="95"/>
      <c r="D9" s="95"/>
      <c r="E9" s="96">
        <v>0</v>
      </c>
      <c r="F9" s="97">
        <f t="shared" si="0"/>
        <v>0</v>
      </c>
      <c r="G9" s="97">
        <f t="shared" si="1"/>
        <v>0</v>
      </c>
    </row>
    <row r="10" spans="2:7" hidden="1">
      <c r="B10" s="94">
        <v>2015</v>
      </c>
      <c r="C10" s="95"/>
      <c r="D10" s="95"/>
      <c r="E10" s="96">
        <v>0</v>
      </c>
      <c r="F10" s="97">
        <f t="shared" si="0"/>
        <v>0</v>
      </c>
      <c r="G10" s="97">
        <f t="shared" si="1"/>
        <v>0</v>
      </c>
    </row>
    <row r="11" spans="2:7" hidden="1">
      <c r="B11" s="94">
        <v>2016</v>
      </c>
      <c r="C11" s="95"/>
      <c r="D11" s="95"/>
      <c r="E11" s="96">
        <v>0</v>
      </c>
      <c r="F11" s="97">
        <f t="shared" si="0"/>
        <v>0</v>
      </c>
      <c r="G11" s="97">
        <f t="shared" si="1"/>
        <v>0</v>
      </c>
    </row>
    <row r="12" spans="2:7" hidden="1">
      <c r="B12" s="94">
        <v>2017</v>
      </c>
      <c r="C12" s="95"/>
      <c r="D12" s="95"/>
      <c r="E12" s="96">
        <v>0</v>
      </c>
      <c r="F12" s="97">
        <f t="shared" si="0"/>
        <v>0</v>
      </c>
      <c r="G12" s="97">
        <f t="shared" si="1"/>
        <v>0</v>
      </c>
    </row>
    <row r="13" spans="2:7" hidden="1">
      <c r="B13" s="94">
        <v>2018</v>
      </c>
      <c r="C13" s="95"/>
      <c r="D13" s="95"/>
      <c r="E13" s="96">
        <v>0</v>
      </c>
      <c r="F13" s="97">
        <f t="shared" si="0"/>
        <v>0</v>
      </c>
      <c r="G13" s="97">
        <f t="shared" si="1"/>
        <v>0</v>
      </c>
    </row>
    <row r="14" spans="2:7" hidden="1">
      <c r="B14" s="94">
        <v>2019</v>
      </c>
      <c r="C14" s="95"/>
      <c r="D14" s="95"/>
      <c r="E14" s="96">
        <v>0</v>
      </c>
      <c r="F14" s="97">
        <f t="shared" si="0"/>
        <v>0</v>
      </c>
      <c r="G14" s="97">
        <f t="shared" si="1"/>
        <v>0</v>
      </c>
    </row>
    <row r="15" spans="2:7" hidden="1">
      <c r="B15" s="94">
        <v>2020</v>
      </c>
      <c r="C15" s="95"/>
      <c r="D15" s="95"/>
      <c r="E15" s="96">
        <v>0</v>
      </c>
      <c r="F15" s="97">
        <f t="shared" si="0"/>
        <v>0</v>
      </c>
      <c r="G15" s="97">
        <f t="shared" si="1"/>
        <v>0</v>
      </c>
    </row>
    <row r="16" spans="2:7" hidden="1">
      <c r="B16" s="94">
        <v>2021</v>
      </c>
      <c r="C16" s="95"/>
      <c r="D16" s="95"/>
      <c r="E16" s="96">
        <v>0</v>
      </c>
      <c r="F16" s="97">
        <f t="shared" si="0"/>
        <v>0</v>
      </c>
      <c r="G16" s="97">
        <f t="shared" si="1"/>
        <v>0</v>
      </c>
    </row>
    <row r="17" spans="2:10" hidden="1">
      <c r="B17" s="94">
        <v>2022</v>
      </c>
      <c r="C17" s="95"/>
      <c r="D17" s="95"/>
      <c r="E17" s="96">
        <v>0</v>
      </c>
      <c r="F17" s="97">
        <f t="shared" si="0"/>
        <v>0</v>
      </c>
      <c r="G17" s="97">
        <f t="shared" si="1"/>
        <v>0</v>
      </c>
    </row>
    <row r="18" spans="2:10">
      <c r="B18" s="94">
        <v>2023</v>
      </c>
      <c r="C18" s="98">
        <v>12000</v>
      </c>
      <c r="D18" s="98">
        <v>27000</v>
      </c>
      <c r="E18" s="96">
        <f>C18+D18</f>
        <v>39000</v>
      </c>
      <c r="F18" s="97">
        <f t="shared" si="0"/>
        <v>25987</v>
      </c>
      <c r="G18" s="97">
        <f t="shared" si="1"/>
        <v>32662</v>
      </c>
    </row>
    <row r="19" spans="2:10">
      <c r="B19" s="94">
        <v>2024</v>
      </c>
      <c r="C19" s="98">
        <f>$C$18</f>
        <v>12000</v>
      </c>
      <c r="D19" s="98">
        <f>$D$18</f>
        <v>27000</v>
      </c>
      <c r="E19" s="96">
        <f t="shared" ref="E19:E42" si="2">C19+D19</f>
        <v>39000</v>
      </c>
      <c r="F19" s="97">
        <f t="shared" si="0"/>
        <v>24287</v>
      </c>
      <c r="G19" s="97">
        <f t="shared" si="1"/>
        <v>31711</v>
      </c>
    </row>
    <row r="20" spans="2:10">
      <c r="B20" s="94">
        <v>2025</v>
      </c>
      <c r="C20" s="98">
        <f t="shared" ref="C20:C37" si="3">$C$18</f>
        <v>12000</v>
      </c>
      <c r="D20" s="98">
        <f t="shared" ref="D20:D37" si="4">$D$18</f>
        <v>27000</v>
      </c>
      <c r="E20" s="96">
        <f t="shared" si="2"/>
        <v>39000</v>
      </c>
      <c r="F20" s="97">
        <f t="shared" si="0"/>
        <v>22698</v>
      </c>
      <c r="G20" s="97">
        <f t="shared" si="1"/>
        <v>30787</v>
      </c>
    </row>
    <row r="21" spans="2:10">
      <c r="B21" s="94">
        <v>2026</v>
      </c>
      <c r="C21" s="98">
        <f t="shared" si="3"/>
        <v>12000</v>
      </c>
      <c r="D21" s="98">
        <f t="shared" si="4"/>
        <v>27000</v>
      </c>
      <c r="E21" s="96">
        <f t="shared" si="2"/>
        <v>39000</v>
      </c>
      <c r="F21" s="97">
        <f t="shared" si="0"/>
        <v>21213</v>
      </c>
      <c r="G21" s="97">
        <f t="shared" si="1"/>
        <v>29890</v>
      </c>
      <c r="J21" t="s">
        <v>0</v>
      </c>
    </row>
    <row r="22" spans="2:10">
      <c r="B22" s="94">
        <v>2027</v>
      </c>
      <c r="C22" s="98">
        <f t="shared" si="3"/>
        <v>12000</v>
      </c>
      <c r="D22" s="98">
        <f t="shared" si="4"/>
        <v>27000</v>
      </c>
      <c r="E22" s="96">
        <f t="shared" si="2"/>
        <v>39000</v>
      </c>
      <c r="F22" s="97">
        <f t="shared" si="0"/>
        <v>19826</v>
      </c>
      <c r="G22" s="97">
        <f t="shared" si="1"/>
        <v>29020</v>
      </c>
    </row>
    <row r="23" spans="2:10">
      <c r="B23" s="94">
        <v>2028</v>
      </c>
      <c r="C23" s="98">
        <f t="shared" si="3"/>
        <v>12000</v>
      </c>
      <c r="D23" s="98">
        <f t="shared" si="4"/>
        <v>27000</v>
      </c>
      <c r="E23" s="96">
        <f t="shared" si="2"/>
        <v>39000</v>
      </c>
      <c r="F23" s="97">
        <f t="shared" si="0"/>
        <v>18529</v>
      </c>
      <c r="G23" s="97">
        <f t="shared" si="1"/>
        <v>28174</v>
      </c>
    </row>
    <row r="24" spans="2:10">
      <c r="B24" s="94">
        <v>2029</v>
      </c>
      <c r="C24" s="98">
        <f t="shared" si="3"/>
        <v>12000</v>
      </c>
      <c r="D24" s="98">
        <f t="shared" si="4"/>
        <v>27000</v>
      </c>
      <c r="E24" s="96">
        <f t="shared" si="2"/>
        <v>39000</v>
      </c>
      <c r="F24" s="97">
        <f t="shared" si="0"/>
        <v>17316</v>
      </c>
      <c r="G24" s="97">
        <f t="shared" si="1"/>
        <v>27354</v>
      </c>
    </row>
    <row r="25" spans="2:10">
      <c r="B25" s="94">
        <v>2030</v>
      </c>
      <c r="C25" s="98">
        <f t="shared" si="3"/>
        <v>12000</v>
      </c>
      <c r="D25" s="98">
        <f t="shared" si="4"/>
        <v>27000</v>
      </c>
      <c r="E25" s="96">
        <f t="shared" si="2"/>
        <v>39000</v>
      </c>
      <c r="F25" s="97">
        <f t="shared" si="0"/>
        <v>16184</v>
      </c>
      <c r="G25" s="97">
        <f t="shared" si="1"/>
        <v>26557</v>
      </c>
    </row>
    <row r="26" spans="2:10">
      <c r="B26" s="94">
        <v>2031</v>
      </c>
      <c r="C26" s="98">
        <f t="shared" si="3"/>
        <v>12000</v>
      </c>
      <c r="D26" s="98">
        <f t="shared" si="4"/>
        <v>27000</v>
      </c>
      <c r="E26" s="96">
        <f t="shared" si="2"/>
        <v>39000</v>
      </c>
      <c r="F26" s="97">
        <f t="shared" si="0"/>
        <v>15125</v>
      </c>
      <c r="G26" s="97">
        <f t="shared" si="1"/>
        <v>25784</v>
      </c>
    </row>
    <row r="27" spans="2:10">
      <c r="B27" s="94">
        <v>2032</v>
      </c>
      <c r="C27" s="98">
        <f t="shared" si="3"/>
        <v>12000</v>
      </c>
      <c r="D27" s="98">
        <f t="shared" si="4"/>
        <v>27000</v>
      </c>
      <c r="E27" s="96">
        <f t="shared" si="2"/>
        <v>39000</v>
      </c>
      <c r="F27" s="97">
        <f t="shared" si="0"/>
        <v>14135</v>
      </c>
      <c r="G27" s="97">
        <f t="shared" si="1"/>
        <v>25033</v>
      </c>
    </row>
    <row r="28" spans="2:10">
      <c r="B28" s="94">
        <v>2033</v>
      </c>
      <c r="C28" s="98">
        <f t="shared" si="3"/>
        <v>12000</v>
      </c>
      <c r="D28" s="98">
        <f t="shared" si="4"/>
        <v>27000</v>
      </c>
      <c r="E28" s="96">
        <f t="shared" si="2"/>
        <v>39000</v>
      </c>
      <c r="F28" s="97">
        <f t="shared" si="0"/>
        <v>13211</v>
      </c>
      <c r="G28" s="97">
        <f t="shared" si="1"/>
        <v>24304</v>
      </c>
    </row>
    <row r="29" spans="2:10">
      <c r="B29" s="94">
        <v>2034</v>
      </c>
      <c r="C29" s="98">
        <f t="shared" si="3"/>
        <v>12000</v>
      </c>
      <c r="D29" s="98">
        <f t="shared" si="4"/>
        <v>27000</v>
      </c>
      <c r="E29" s="96">
        <f t="shared" si="2"/>
        <v>39000</v>
      </c>
      <c r="F29" s="97">
        <f t="shared" si="0"/>
        <v>12346</v>
      </c>
      <c r="G29" s="97">
        <f t="shared" si="1"/>
        <v>23596</v>
      </c>
    </row>
    <row r="30" spans="2:10">
      <c r="B30" s="94">
        <v>2035</v>
      </c>
      <c r="C30" s="98">
        <f t="shared" si="3"/>
        <v>12000</v>
      </c>
      <c r="D30" s="98">
        <f t="shared" si="4"/>
        <v>27000</v>
      </c>
      <c r="E30" s="96">
        <f t="shared" si="2"/>
        <v>39000</v>
      </c>
      <c r="F30" s="97">
        <f t="shared" si="0"/>
        <v>11539</v>
      </c>
      <c r="G30" s="97">
        <f t="shared" si="1"/>
        <v>22908</v>
      </c>
    </row>
    <row r="31" spans="2:10">
      <c r="B31" s="94">
        <v>2036</v>
      </c>
      <c r="C31" s="98">
        <f t="shared" si="3"/>
        <v>12000</v>
      </c>
      <c r="D31" s="98">
        <f t="shared" si="4"/>
        <v>27000</v>
      </c>
      <c r="E31" s="96">
        <f t="shared" si="2"/>
        <v>39000</v>
      </c>
      <c r="F31" s="97">
        <f t="shared" si="0"/>
        <v>10784</v>
      </c>
      <c r="G31" s="97">
        <f t="shared" si="1"/>
        <v>22241</v>
      </c>
    </row>
    <row r="32" spans="2:10">
      <c r="B32" s="94">
        <v>2037</v>
      </c>
      <c r="C32" s="98">
        <f t="shared" si="3"/>
        <v>12000</v>
      </c>
      <c r="D32" s="98">
        <f t="shared" si="4"/>
        <v>27000</v>
      </c>
      <c r="E32" s="96">
        <f t="shared" si="2"/>
        <v>39000</v>
      </c>
      <c r="F32" s="97">
        <f t="shared" si="0"/>
        <v>10078</v>
      </c>
      <c r="G32" s="97">
        <f t="shared" si="1"/>
        <v>21593</v>
      </c>
    </row>
    <row r="33" spans="2:7">
      <c r="B33" s="94">
        <v>2038</v>
      </c>
      <c r="C33" s="98">
        <f t="shared" si="3"/>
        <v>12000</v>
      </c>
      <c r="D33" s="98">
        <f t="shared" si="4"/>
        <v>27000</v>
      </c>
      <c r="E33" s="96">
        <f t="shared" si="2"/>
        <v>39000</v>
      </c>
      <c r="F33" s="97">
        <f t="shared" si="0"/>
        <v>9419</v>
      </c>
      <c r="G33" s="97">
        <f t="shared" si="1"/>
        <v>20964</v>
      </c>
    </row>
    <row r="34" spans="2:7">
      <c r="B34" s="94">
        <v>2039</v>
      </c>
      <c r="C34" s="98">
        <f t="shared" si="3"/>
        <v>12000</v>
      </c>
      <c r="D34" s="98">
        <f t="shared" si="4"/>
        <v>27000</v>
      </c>
      <c r="E34" s="96">
        <f t="shared" si="2"/>
        <v>39000</v>
      </c>
      <c r="F34" s="97">
        <f t="shared" si="0"/>
        <v>8803</v>
      </c>
      <c r="G34" s="97">
        <f t="shared" si="1"/>
        <v>20354</v>
      </c>
    </row>
    <row r="35" spans="2:7">
      <c r="B35" s="94">
        <v>2040</v>
      </c>
      <c r="C35" s="98">
        <f t="shared" si="3"/>
        <v>12000</v>
      </c>
      <c r="D35" s="98">
        <f t="shared" si="4"/>
        <v>27000</v>
      </c>
      <c r="E35" s="96">
        <f t="shared" si="2"/>
        <v>39000</v>
      </c>
      <c r="F35" s="97">
        <f t="shared" si="0"/>
        <v>8227</v>
      </c>
      <c r="G35" s="97">
        <f t="shared" si="1"/>
        <v>19761</v>
      </c>
    </row>
    <row r="36" spans="2:7">
      <c r="B36" s="94">
        <v>2041</v>
      </c>
      <c r="C36" s="98">
        <f t="shared" si="3"/>
        <v>12000</v>
      </c>
      <c r="D36" s="98">
        <f t="shared" si="4"/>
        <v>27000</v>
      </c>
      <c r="E36" s="96">
        <f t="shared" si="2"/>
        <v>39000</v>
      </c>
      <c r="F36" s="97">
        <f t="shared" si="0"/>
        <v>7689</v>
      </c>
      <c r="G36" s="97">
        <f t="shared" si="1"/>
        <v>19185</v>
      </c>
    </row>
    <row r="37" spans="2:7" ht="15.75" thickBot="1">
      <c r="B37" s="94">
        <v>2042</v>
      </c>
      <c r="C37" s="98">
        <f t="shared" si="3"/>
        <v>12000</v>
      </c>
      <c r="D37" s="98">
        <f t="shared" si="4"/>
        <v>27000</v>
      </c>
      <c r="E37" s="96">
        <f t="shared" si="2"/>
        <v>39000</v>
      </c>
      <c r="F37" s="97">
        <f t="shared" si="0"/>
        <v>7186</v>
      </c>
      <c r="G37" s="97">
        <f t="shared" si="1"/>
        <v>18627</v>
      </c>
    </row>
    <row r="38" spans="2:7" ht="15.75" hidden="1" thickBot="1">
      <c r="B38" s="99">
        <v>2043</v>
      </c>
      <c r="C38" s="100">
        <f>1000*12</f>
        <v>12000</v>
      </c>
      <c r="D38" s="100">
        <f>2250*12</f>
        <v>27000</v>
      </c>
      <c r="E38" s="64">
        <f t="shared" si="2"/>
        <v>39000</v>
      </c>
      <c r="F38" s="101">
        <f t="shared" si="0"/>
        <v>6716</v>
      </c>
      <c r="G38" s="101">
        <f t="shared" si="1"/>
        <v>18084</v>
      </c>
    </row>
    <row r="39" spans="2:7" ht="15.75" hidden="1" thickBot="1">
      <c r="B39" s="99">
        <v>2044</v>
      </c>
      <c r="C39" s="100">
        <f>1000*12</f>
        <v>12000</v>
      </c>
      <c r="D39" s="100">
        <f>2250*12</f>
        <v>27000</v>
      </c>
      <c r="E39" s="64">
        <f t="shared" si="2"/>
        <v>39000</v>
      </c>
      <c r="F39" s="101">
        <f t="shared" si="0"/>
        <v>6276</v>
      </c>
      <c r="G39" s="101">
        <f t="shared" si="1"/>
        <v>17557</v>
      </c>
    </row>
    <row r="40" spans="2:7" ht="15.75" hidden="1" thickBot="1">
      <c r="B40" s="99">
        <v>2045</v>
      </c>
      <c r="C40" s="100">
        <f>1000*12</f>
        <v>12000</v>
      </c>
      <c r="D40" s="100">
        <f>2250*12</f>
        <v>27000</v>
      </c>
      <c r="E40" s="64">
        <f t="shared" si="2"/>
        <v>39000</v>
      </c>
      <c r="F40" s="101">
        <f t="shared" si="0"/>
        <v>5866</v>
      </c>
      <c r="G40" s="101">
        <f t="shared" si="1"/>
        <v>17046</v>
      </c>
    </row>
    <row r="41" spans="2:7" ht="15.75" hidden="1" thickBot="1">
      <c r="B41" s="99">
        <v>2046</v>
      </c>
      <c r="C41" s="100">
        <f>1000*12</f>
        <v>12000</v>
      </c>
      <c r="D41" s="100">
        <f>2250*12</f>
        <v>27000</v>
      </c>
      <c r="E41" s="64">
        <f t="shared" si="2"/>
        <v>39000</v>
      </c>
      <c r="F41" s="101">
        <f t="shared" si="0"/>
        <v>5482</v>
      </c>
      <c r="G41" s="101">
        <f t="shared" si="1"/>
        <v>16550</v>
      </c>
    </row>
    <row r="42" spans="2:7" ht="15.75" hidden="1" thickBot="1">
      <c r="B42" s="99">
        <v>2047</v>
      </c>
      <c r="C42" s="100">
        <f>1000*12</f>
        <v>12000</v>
      </c>
      <c r="D42" s="100">
        <f>2250*12</f>
        <v>27000</v>
      </c>
      <c r="E42" s="64">
        <f t="shared" si="2"/>
        <v>39000</v>
      </c>
      <c r="F42" s="101">
        <f t="shared" si="0"/>
        <v>5123</v>
      </c>
      <c r="G42" s="101">
        <f t="shared" si="1"/>
        <v>16067</v>
      </c>
    </row>
    <row r="43" spans="2:7" ht="15.75" thickBot="1">
      <c r="B43" s="102" t="s">
        <v>350</v>
      </c>
      <c r="C43" s="103">
        <f>SUM(C18:C37)</f>
        <v>240000</v>
      </c>
      <c r="D43" s="103">
        <f>SUM(D18:D37)</f>
        <v>540000</v>
      </c>
      <c r="E43" s="103">
        <f>SUM(E18:E37)</f>
        <v>780000</v>
      </c>
      <c r="F43" s="103">
        <f>SUM(F18:F37)</f>
        <v>294582</v>
      </c>
      <c r="G43" s="103">
        <f>SUM(G18:G37)</f>
        <v>500505</v>
      </c>
    </row>
  </sheetData>
  <sheetProtection algorithmName="SHA-512" hashValue="RJrx+XLbUaePw0iu+AjCyXwf5enVYUARwyMXD/jW+0UWNRmPrwlV6mvmhiVENAAJAiyGV+zE0ZH/n3/IqCQ+QA==" saltValue="MjWbp/2bhE0Xr6pSZhQcz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68F7-8E8D-46A5-8338-0653B6AE1C6E}">
  <sheetPr>
    <tabColor rgb="FF00B050"/>
  </sheetPr>
  <dimension ref="A1:P60"/>
  <sheetViews>
    <sheetView topLeftCell="A10" workbookViewId="0">
      <selection activeCell="D48" sqref="D48"/>
    </sheetView>
  </sheetViews>
  <sheetFormatPr defaultRowHeight="15"/>
  <cols>
    <col min="1" max="1" width="17.5703125" customWidth="1"/>
    <col min="2" max="2" width="26.140625" customWidth="1"/>
    <col min="3" max="3" width="24.140625" customWidth="1"/>
    <col min="4" max="4" width="23" customWidth="1"/>
    <col min="5" max="5" width="14" customWidth="1"/>
    <col min="14" max="14" width="16" customWidth="1"/>
  </cols>
  <sheetData>
    <row r="1" spans="1:16">
      <c r="A1" t="s">
        <v>400</v>
      </c>
    </row>
    <row r="2" spans="1:16">
      <c r="A2" t="s">
        <v>401</v>
      </c>
      <c r="B2" s="62">
        <v>10.37</v>
      </c>
      <c r="C2" t="s">
        <v>402</v>
      </c>
      <c r="G2" t="s">
        <v>403</v>
      </c>
    </row>
    <row r="3" spans="1:16">
      <c r="A3" s="16" t="s">
        <v>404</v>
      </c>
      <c r="B3" s="16"/>
      <c r="C3" s="16"/>
      <c r="D3" s="16"/>
    </row>
    <row r="4" spans="1:16">
      <c r="A4" s="16" t="s">
        <v>405</v>
      </c>
      <c r="B4" s="16"/>
      <c r="C4" s="16"/>
      <c r="D4" s="16"/>
    </row>
    <row r="5" spans="1:16">
      <c r="A5" s="16" t="s">
        <v>406</v>
      </c>
      <c r="B5" s="16"/>
      <c r="C5" s="16"/>
      <c r="D5" s="16"/>
    </row>
    <row r="6" spans="1:16">
      <c r="A6" s="104" t="s">
        <v>407</v>
      </c>
      <c r="B6" s="16"/>
      <c r="C6" s="16"/>
      <c r="D6" s="16"/>
    </row>
    <row r="7" spans="1:16">
      <c r="A7" s="16"/>
      <c r="B7" s="16"/>
      <c r="C7" s="16"/>
      <c r="D7" s="16"/>
    </row>
    <row r="8" spans="1:16">
      <c r="A8" t="s">
        <v>111</v>
      </c>
      <c r="B8" t="s">
        <v>408</v>
      </c>
      <c r="C8" t="s">
        <v>409</v>
      </c>
      <c r="D8" t="s">
        <v>410</v>
      </c>
      <c r="E8" t="s">
        <v>411</v>
      </c>
    </row>
    <row r="9" spans="1:16" ht="15.75" thickBot="1">
      <c r="A9" t="s">
        <v>199</v>
      </c>
      <c r="B9" s="123">
        <v>64515</v>
      </c>
      <c r="C9">
        <f>B9*0.5</f>
        <v>32257.5</v>
      </c>
      <c r="D9">
        <v>6.5</v>
      </c>
      <c r="E9">
        <v>4.3</v>
      </c>
      <c r="G9" s="16" t="s">
        <v>412</v>
      </c>
      <c r="H9" s="16"/>
      <c r="I9" s="16"/>
      <c r="J9" s="16"/>
      <c r="K9" s="16"/>
      <c r="L9" s="16"/>
    </row>
    <row r="10" spans="1:16" ht="15.75" thickBot="1">
      <c r="A10" t="s">
        <v>148</v>
      </c>
      <c r="B10" s="123">
        <v>53140</v>
      </c>
      <c r="C10">
        <f>B10*0.5</f>
        <v>26570</v>
      </c>
      <c r="D10">
        <v>5.8</v>
      </c>
      <c r="E10">
        <v>3.9</v>
      </c>
      <c r="G10" s="16" t="s">
        <v>412</v>
      </c>
      <c r="H10" s="16"/>
      <c r="I10" s="16"/>
      <c r="J10" s="16"/>
      <c r="K10" s="16"/>
      <c r="L10" s="16"/>
      <c r="P10" s="124"/>
    </row>
    <row r="11" spans="1:16">
      <c r="A11" t="s">
        <v>120</v>
      </c>
      <c r="C11">
        <v>0</v>
      </c>
      <c r="D11">
        <v>0</v>
      </c>
      <c r="E11">
        <v>0</v>
      </c>
      <c r="G11" s="16" t="s">
        <v>413</v>
      </c>
      <c r="H11" s="16"/>
      <c r="I11" s="16"/>
      <c r="J11" s="16"/>
      <c r="K11" s="16"/>
      <c r="L11" s="16"/>
    </row>
    <row r="12" spans="1:16">
      <c r="A12" t="s">
        <v>187</v>
      </c>
      <c r="C12">
        <v>0</v>
      </c>
      <c r="D12">
        <v>0</v>
      </c>
      <c r="E12">
        <v>0</v>
      </c>
      <c r="F12" t="s">
        <v>0</v>
      </c>
      <c r="G12" s="16" t="s">
        <v>413</v>
      </c>
      <c r="H12" s="16"/>
      <c r="I12" s="16"/>
      <c r="J12" s="16"/>
      <c r="K12" s="16"/>
      <c r="L12" s="16"/>
    </row>
    <row r="13" spans="1:16">
      <c r="A13" t="s">
        <v>195</v>
      </c>
      <c r="C13">
        <v>0</v>
      </c>
      <c r="D13">
        <v>0</v>
      </c>
      <c r="E13">
        <v>0</v>
      </c>
      <c r="G13" s="16" t="s">
        <v>414</v>
      </c>
      <c r="H13" s="16"/>
      <c r="I13" s="16"/>
      <c r="J13" s="16"/>
      <c r="K13" s="16"/>
      <c r="L13" s="16"/>
    </row>
    <row r="14" spans="1:16">
      <c r="D14" s="125">
        <f>AVERAGE(D9:D13)/100</f>
        <v>2.46E-2</v>
      </c>
      <c r="E14" s="125">
        <f>AVERAGE(E9:E13)/100</f>
        <v>1.6399999999999998E-2</v>
      </c>
    </row>
    <row r="15" spans="1:16">
      <c r="B15" t="s">
        <v>415</v>
      </c>
      <c r="C15" s="125" t="s">
        <v>415</v>
      </c>
      <c r="D15" s="125"/>
    </row>
    <row r="16" spans="1:16">
      <c r="B16" t="s">
        <v>416</v>
      </c>
      <c r="C16" t="s">
        <v>417</v>
      </c>
    </row>
    <row r="17" spans="1:5">
      <c r="B17" t="s">
        <v>418</v>
      </c>
      <c r="C17" s="126" t="s">
        <v>419</v>
      </c>
    </row>
    <row r="18" spans="1:5">
      <c r="B18" t="s">
        <v>420</v>
      </c>
    </row>
    <row r="20" spans="1:5" ht="15.75" thickBot="1">
      <c r="A20" t="s">
        <v>421</v>
      </c>
      <c r="B20" s="127"/>
      <c r="D20" s="128">
        <v>7.0000000000000007E-2</v>
      </c>
      <c r="E20" s="128">
        <v>0.03</v>
      </c>
    </row>
    <row r="21" spans="1:5" ht="30">
      <c r="A21" s="90" t="s">
        <v>358</v>
      </c>
      <c r="B21" s="129" t="s">
        <v>422</v>
      </c>
      <c r="C21" s="92" t="s">
        <v>401</v>
      </c>
      <c r="D21" s="93" t="s">
        <v>362</v>
      </c>
      <c r="E21" s="93" t="s">
        <v>362</v>
      </c>
    </row>
    <row r="22" spans="1:5" hidden="1">
      <c r="A22" s="94">
        <v>2010</v>
      </c>
      <c r="B22" s="130">
        <f>SUM(C9:C10)</f>
        <v>58827.5</v>
      </c>
      <c r="C22" s="96">
        <v>0</v>
      </c>
      <c r="D22" s="97">
        <f t="shared" ref="D22:D39" si="0">ROUND(C22/(1.07^(A22-2017)),0)</f>
        <v>0</v>
      </c>
      <c r="E22" s="97">
        <f t="shared" ref="E22:E39" si="1">ROUND(C22/(1.03^(A22-2017)),0)</f>
        <v>0</v>
      </c>
    </row>
    <row r="23" spans="1:5" hidden="1">
      <c r="A23" s="94">
        <v>2011</v>
      </c>
      <c r="B23" s="130">
        <f t="shared" ref="B23:B41" si="2">B22*(1+$D$14)</f>
        <v>60274.656499999997</v>
      </c>
      <c r="C23" s="96">
        <v>0</v>
      </c>
      <c r="D23" s="97">
        <f t="shared" si="0"/>
        <v>0</v>
      </c>
      <c r="E23" s="97">
        <f t="shared" si="1"/>
        <v>0</v>
      </c>
    </row>
    <row r="24" spans="1:5" hidden="1">
      <c r="A24" s="94">
        <v>2012</v>
      </c>
      <c r="B24" s="130">
        <f t="shared" si="2"/>
        <v>61757.413049899995</v>
      </c>
      <c r="C24" s="96">
        <v>0</v>
      </c>
      <c r="D24" s="97">
        <f t="shared" si="0"/>
        <v>0</v>
      </c>
      <c r="E24" s="97">
        <f t="shared" si="1"/>
        <v>0</v>
      </c>
    </row>
    <row r="25" spans="1:5" hidden="1">
      <c r="A25" s="94">
        <v>2013</v>
      </c>
      <c r="B25" s="130">
        <f t="shared" si="2"/>
        <v>63276.645410927529</v>
      </c>
      <c r="C25" s="96">
        <v>0</v>
      </c>
      <c r="D25" s="97">
        <f t="shared" si="0"/>
        <v>0</v>
      </c>
      <c r="E25" s="97">
        <f t="shared" si="1"/>
        <v>0</v>
      </c>
    </row>
    <row r="26" spans="1:5" hidden="1">
      <c r="A26" s="94">
        <v>2014</v>
      </c>
      <c r="B26" s="130">
        <f t="shared" si="2"/>
        <v>64833.250888036346</v>
      </c>
      <c r="C26" s="96">
        <v>0</v>
      </c>
      <c r="D26" s="97">
        <f t="shared" si="0"/>
        <v>0</v>
      </c>
      <c r="E26" s="97">
        <f t="shared" si="1"/>
        <v>0</v>
      </c>
    </row>
    <row r="27" spans="1:5" hidden="1">
      <c r="A27" s="94">
        <v>2015</v>
      </c>
      <c r="B27" s="130">
        <f t="shared" si="2"/>
        <v>66428.148859882043</v>
      </c>
      <c r="C27" s="96">
        <v>0</v>
      </c>
      <c r="D27" s="97">
        <f t="shared" si="0"/>
        <v>0</v>
      </c>
      <c r="E27" s="97">
        <f t="shared" si="1"/>
        <v>0</v>
      </c>
    </row>
    <row r="28" spans="1:5" hidden="1">
      <c r="A28" s="94">
        <v>2016</v>
      </c>
      <c r="B28" s="130">
        <f t="shared" si="2"/>
        <v>68062.281321835137</v>
      </c>
      <c r="C28" s="96">
        <v>0</v>
      </c>
      <c r="D28" s="97">
        <f t="shared" si="0"/>
        <v>0</v>
      </c>
      <c r="E28" s="97">
        <f t="shared" si="1"/>
        <v>0</v>
      </c>
    </row>
    <row r="29" spans="1:5" hidden="1">
      <c r="A29" s="94">
        <v>2017</v>
      </c>
      <c r="B29" s="130">
        <f t="shared" si="2"/>
        <v>69736.613442352274</v>
      </c>
      <c r="C29" s="96">
        <v>0</v>
      </c>
      <c r="D29" s="97">
        <f t="shared" si="0"/>
        <v>0</v>
      </c>
      <c r="E29" s="97">
        <f t="shared" si="1"/>
        <v>0</v>
      </c>
    </row>
    <row r="30" spans="1:5" hidden="1">
      <c r="A30" s="94">
        <v>2018</v>
      </c>
      <c r="B30" s="130">
        <f t="shared" si="2"/>
        <v>71452.134133034138</v>
      </c>
      <c r="C30" s="96">
        <v>0</v>
      </c>
      <c r="D30" s="97">
        <f t="shared" si="0"/>
        <v>0</v>
      </c>
      <c r="E30" s="97">
        <f t="shared" si="1"/>
        <v>0</v>
      </c>
    </row>
    <row r="31" spans="1:5" hidden="1">
      <c r="A31" s="94">
        <v>2019</v>
      </c>
      <c r="B31" s="130">
        <f t="shared" si="2"/>
        <v>73209.856632706782</v>
      </c>
      <c r="C31" s="96">
        <v>0</v>
      </c>
      <c r="D31" s="97">
        <f t="shared" si="0"/>
        <v>0</v>
      </c>
      <c r="E31" s="97">
        <f t="shared" si="1"/>
        <v>0</v>
      </c>
    </row>
    <row r="32" spans="1:5" hidden="1">
      <c r="A32" s="94">
        <v>2020</v>
      </c>
      <c r="B32" s="130">
        <f t="shared" si="2"/>
        <v>75010.819105871371</v>
      </c>
      <c r="C32" s="96">
        <v>0</v>
      </c>
      <c r="D32" s="97">
        <f t="shared" si="0"/>
        <v>0</v>
      </c>
      <c r="E32" s="97">
        <f t="shared" si="1"/>
        <v>0</v>
      </c>
    </row>
    <row r="33" spans="1:5" hidden="1">
      <c r="A33" s="94">
        <v>2021</v>
      </c>
      <c r="B33" s="130">
        <f t="shared" si="2"/>
        <v>76856.085255875805</v>
      </c>
      <c r="C33" s="96">
        <v>0</v>
      </c>
      <c r="D33" s="97">
        <f t="shared" si="0"/>
        <v>0</v>
      </c>
      <c r="E33" s="97">
        <f t="shared" si="1"/>
        <v>0</v>
      </c>
    </row>
    <row r="34" spans="1:5" hidden="1">
      <c r="A34" s="94">
        <v>2022</v>
      </c>
      <c r="B34" s="130">
        <f t="shared" si="2"/>
        <v>78746.744953170346</v>
      </c>
      <c r="C34" s="96">
        <v>0</v>
      </c>
      <c r="D34" s="97">
        <f t="shared" si="0"/>
        <v>0</v>
      </c>
      <c r="E34" s="97">
        <f t="shared" si="1"/>
        <v>0</v>
      </c>
    </row>
    <row r="35" spans="1:5">
      <c r="A35" s="94">
        <v>2023</v>
      </c>
      <c r="B35" s="130">
        <f t="shared" si="2"/>
        <v>80683.914879018339</v>
      </c>
      <c r="C35" s="96">
        <f>B35*$B$2</f>
        <v>836692.1972954201</v>
      </c>
      <c r="D35" s="97">
        <f t="shared" si="0"/>
        <v>557523</v>
      </c>
      <c r="E35" s="97">
        <f t="shared" si="1"/>
        <v>700717</v>
      </c>
    </row>
    <row r="36" spans="1:5">
      <c r="A36" s="94">
        <v>2024</v>
      </c>
      <c r="B36" s="130">
        <f t="shared" si="2"/>
        <v>82668.739185042185</v>
      </c>
      <c r="C36" s="96">
        <f t="shared" ref="C36:C59" si="3">B36*$B$2</f>
        <v>857274.82534888736</v>
      </c>
      <c r="D36" s="97">
        <f t="shared" si="0"/>
        <v>533868</v>
      </c>
      <c r="E36" s="97">
        <f t="shared" si="1"/>
        <v>697043</v>
      </c>
    </row>
    <row r="37" spans="1:5">
      <c r="A37" s="94">
        <v>2025</v>
      </c>
      <c r="B37" s="130">
        <f t="shared" si="2"/>
        <v>84702.390168994214</v>
      </c>
      <c r="C37" s="96">
        <f t="shared" si="3"/>
        <v>878363.78605246998</v>
      </c>
      <c r="D37" s="97">
        <f t="shared" si="0"/>
        <v>511216</v>
      </c>
      <c r="E37" s="97">
        <f t="shared" si="1"/>
        <v>693388</v>
      </c>
    </row>
    <row r="38" spans="1:5">
      <c r="A38" s="94">
        <v>2026</v>
      </c>
      <c r="B38" s="130">
        <f t="shared" si="2"/>
        <v>86786.06896715147</v>
      </c>
      <c r="C38" s="96">
        <f t="shared" si="3"/>
        <v>899971.53518936073</v>
      </c>
      <c r="D38" s="97">
        <f t="shared" si="0"/>
        <v>489525</v>
      </c>
      <c r="E38" s="97">
        <f t="shared" si="1"/>
        <v>689753</v>
      </c>
    </row>
    <row r="39" spans="1:5">
      <c r="A39" s="94">
        <v>2027</v>
      </c>
      <c r="B39" s="130">
        <f t="shared" si="2"/>
        <v>88921.006263743388</v>
      </c>
      <c r="C39" s="96">
        <f t="shared" si="3"/>
        <v>922110.83495501883</v>
      </c>
      <c r="D39" s="97">
        <f t="shared" si="0"/>
        <v>468754</v>
      </c>
      <c r="E39" s="97">
        <f t="shared" si="1"/>
        <v>686137</v>
      </c>
    </row>
    <row r="40" spans="1:5">
      <c r="A40" s="94">
        <v>2028</v>
      </c>
      <c r="B40" s="130">
        <f t="shared" si="2"/>
        <v>91108.463017831469</v>
      </c>
      <c r="C40" s="96">
        <f t="shared" si="3"/>
        <v>944794.76149491221</v>
      </c>
      <c r="D40" s="97">
        <f>ROUND(C40/(1.07^(A40-2017)),0)</f>
        <v>448865</v>
      </c>
      <c r="E40" s="97">
        <f>ROUND(C40/(1.03^(A40-2017)),0)</f>
        <v>682540</v>
      </c>
    </row>
    <row r="41" spans="1:5">
      <c r="A41" s="94">
        <v>2029</v>
      </c>
      <c r="B41" s="130">
        <f t="shared" si="2"/>
        <v>93349.731208070123</v>
      </c>
      <c r="C41" s="96">
        <f t="shared" si="3"/>
        <v>968036.71262768714</v>
      </c>
      <c r="D41" s="97">
        <f t="shared" ref="D41:D59" si="4">ROUND(C41/(1.07^(A41-2017)),0)</f>
        <v>429820</v>
      </c>
      <c r="E41" s="97">
        <f t="shared" ref="E41:E59" si="5">ROUND(C41/(1.03^(A41-2017)),0)</f>
        <v>678961</v>
      </c>
    </row>
    <row r="42" spans="1:5">
      <c r="A42" s="94">
        <v>2030</v>
      </c>
      <c r="B42" s="130">
        <f t="shared" ref="B42:B59" si="6">B41*(1+$E$14)</f>
        <v>94880.666799882471</v>
      </c>
      <c r="C42" s="96">
        <f t="shared" si="3"/>
        <v>983912.51471478119</v>
      </c>
      <c r="D42" s="97">
        <f t="shared" si="4"/>
        <v>408289</v>
      </c>
      <c r="E42" s="97">
        <f t="shared" si="5"/>
        <v>669997</v>
      </c>
    </row>
    <row r="43" spans="1:5">
      <c r="A43" s="94">
        <v>2031</v>
      </c>
      <c r="B43" s="130">
        <f t="shared" si="6"/>
        <v>96436.709735400538</v>
      </c>
      <c r="C43" s="96">
        <f t="shared" si="3"/>
        <v>1000048.6799561036</v>
      </c>
      <c r="D43" s="97">
        <f t="shared" si="4"/>
        <v>387836</v>
      </c>
      <c r="E43" s="97">
        <f t="shared" si="5"/>
        <v>661150</v>
      </c>
    </row>
    <row r="44" spans="1:5">
      <c r="A44" s="94">
        <v>2032</v>
      </c>
      <c r="B44" s="130">
        <f t="shared" si="6"/>
        <v>98018.271775061105</v>
      </c>
      <c r="C44" s="96">
        <f t="shared" si="3"/>
        <v>1016449.4783073836</v>
      </c>
      <c r="D44" s="97">
        <f t="shared" si="4"/>
        <v>368408</v>
      </c>
      <c r="E44" s="97">
        <f t="shared" si="5"/>
        <v>652420</v>
      </c>
    </row>
    <row r="45" spans="1:5">
      <c r="A45" s="94">
        <v>2033</v>
      </c>
      <c r="B45" s="130">
        <f t="shared" si="6"/>
        <v>99625.7714321721</v>
      </c>
      <c r="C45" s="96">
        <f t="shared" si="3"/>
        <v>1033119.2497516247</v>
      </c>
      <c r="D45" s="97">
        <f t="shared" si="4"/>
        <v>349953</v>
      </c>
      <c r="E45" s="97">
        <f t="shared" si="5"/>
        <v>643806</v>
      </c>
    </row>
    <row r="46" spans="1:5">
      <c r="A46" s="94">
        <v>2034</v>
      </c>
      <c r="B46" s="130">
        <f t="shared" si="6"/>
        <v>101259.63408365972</v>
      </c>
      <c r="C46" s="96">
        <f t="shared" si="3"/>
        <v>1050062.4054475513</v>
      </c>
      <c r="D46" s="97">
        <f t="shared" si="4"/>
        <v>332423</v>
      </c>
      <c r="E46" s="97">
        <f t="shared" si="5"/>
        <v>635305</v>
      </c>
    </row>
    <row r="47" spans="1:5">
      <c r="A47" s="94">
        <v>2035</v>
      </c>
      <c r="B47" s="130">
        <f t="shared" si="6"/>
        <v>102920.29208263174</v>
      </c>
      <c r="C47" s="96">
        <f t="shared" si="3"/>
        <v>1067283.4288968912</v>
      </c>
      <c r="D47" s="97">
        <f t="shared" si="4"/>
        <v>315771</v>
      </c>
      <c r="E47" s="97">
        <f t="shared" si="5"/>
        <v>626917</v>
      </c>
    </row>
    <row r="48" spans="1:5">
      <c r="A48" s="94">
        <v>2036</v>
      </c>
      <c r="B48" s="130">
        <f t="shared" si="6"/>
        <v>104608.18487278689</v>
      </c>
      <c r="C48" s="96">
        <f t="shared" si="3"/>
        <v>1084786.8771307999</v>
      </c>
      <c r="D48" s="97">
        <f t="shared" si="4"/>
        <v>299953</v>
      </c>
      <c r="E48" s="97">
        <f t="shared" si="5"/>
        <v>618639</v>
      </c>
    </row>
    <row r="49" spans="1:5">
      <c r="A49" s="94">
        <v>2037</v>
      </c>
      <c r="B49" s="130">
        <f t="shared" si="6"/>
        <v>106323.7591047006</v>
      </c>
      <c r="C49" s="96">
        <f t="shared" si="3"/>
        <v>1102577.3819157451</v>
      </c>
      <c r="D49" s="97">
        <f t="shared" si="4"/>
        <v>284927</v>
      </c>
      <c r="E49" s="97">
        <f t="shared" si="5"/>
        <v>610470</v>
      </c>
    </row>
    <row r="50" spans="1:5">
      <c r="A50" s="94">
        <v>2038</v>
      </c>
      <c r="B50" s="130">
        <f t="shared" si="6"/>
        <v>108067.46875401768</v>
      </c>
      <c r="C50" s="96">
        <f t="shared" si="3"/>
        <v>1120659.6509791634</v>
      </c>
      <c r="D50" s="97">
        <f t="shared" si="4"/>
        <v>270654</v>
      </c>
      <c r="E50" s="97">
        <f t="shared" si="5"/>
        <v>602410</v>
      </c>
    </row>
    <row r="51" spans="1:5">
      <c r="A51" s="94">
        <v>2039</v>
      </c>
      <c r="B51" s="130">
        <f t="shared" si="6"/>
        <v>109839.77524158357</v>
      </c>
      <c r="C51" s="96">
        <f t="shared" si="3"/>
        <v>1139038.4692552215</v>
      </c>
      <c r="D51" s="97">
        <f t="shared" si="4"/>
        <v>257096</v>
      </c>
      <c r="E51" s="97">
        <f t="shared" si="5"/>
        <v>594456</v>
      </c>
    </row>
    <row r="52" spans="1:5">
      <c r="A52" s="94">
        <v>2040</v>
      </c>
      <c r="B52" s="130">
        <f t="shared" si="6"/>
        <v>111641.14755554554</v>
      </c>
      <c r="C52" s="96">
        <f t="shared" si="3"/>
        <v>1157718.7001510072</v>
      </c>
      <c r="D52" s="97">
        <f t="shared" si="4"/>
        <v>244217</v>
      </c>
      <c r="E52" s="97">
        <f t="shared" si="5"/>
        <v>586607</v>
      </c>
    </row>
    <row r="53" spans="1:5">
      <c r="A53" s="94">
        <v>2041</v>
      </c>
      <c r="B53" s="130">
        <f t="shared" si="6"/>
        <v>113472.06237545649</v>
      </c>
      <c r="C53" s="96">
        <f t="shared" si="3"/>
        <v>1176705.2868334837</v>
      </c>
      <c r="D53" s="97">
        <f t="shared" si="4"/>
        <v>231983</v>
      </c>
      <c r="E53" s="97">
        <f t="shared" si="5"/>
        <v>578861</v>
      </c>
    </row>
    <row r="54" spans="1:5" ht="15.75" thickBot="1">
      <c r="A54" s="94">
        <v>2042</v>
      </c>
      <c r="B54" s="130">
        <f t="shared" si="6"/>
        <v>115333.00419841397</v>
      </c>
      <c r="C54" s="96">
        <f t="shared" si="3"/>
        <v>1196003.2535375527</v>
      </c>
      <c r="D54" s="97">
        <f t="shared" si="4"/>
        <v>220363</v>
      </c>
      <c r="E54" s="97">
        <f t="shared" si="5"/>
        <v>571218</v>
      </c>
    </row>
    <row r="55" spans="1:5" ht="15.75" hidden="1" thickBot="1">
      <c r="A55" s="99">
        <v>2043</v>
      </c>
      <c r="B55" s="131">
        <f t="shared" si="6"/>
        <v>117224.46546726796</v>
      </c>
      <c r="C55" s="64">
        <f t="shared" si="3"/>
        <v>1215617.7068955686</v>
      </c>
      <c r="D55" s="101">
        <f t="shared" si="4"/>
        <v>209324</v>
      </c>
      <c r="E55" s="101">
        <f t="shared" si="5"/>
        <v>563676</v>
      </c>
    </row>
    <row r="56" spans="1:5" ht="15.75" hidden="1" thickBot="1">
      <c r="A56" s="99">
        <v>2044</v>
      </c>
      <c r="B56" s="131">
        <f t="shared" si="6"/>
        <v>119146.94670093115</v>
      </c>
      <c r="C56" s="64">
        <f t="shared" si="3"/>
        <v>1235553.8372886558</v>
      </c>
      <c r="D56" s="101">
        <f t="shared" si="4"/>
        <v>198838</v>
      </c>
      <c r="E56" s="101">
        <f t="shared" si="5"/>
        <v>556233</v>
      </c>
    </row>
    <row r="57" spans="1:5" ht="15.75" hidden="1" thickBot="1">
      <c r="A57" s="99">
        <v>2045</v>
      </c>
      <c r="B57" s="131">
        <f t="shared" si="6"/>
        <v>121100.95662682642</v>
      </c>
      <c r="C57" s="64">
        <f t="shared" si="3"/>
        <v>1255816.92022019</v>
      </c>
      <c r="D57" s="101">
        <f t="shared" si="4"/>
        <v>188878</v>
      </c>
      <c r="E57" s="101">
        <f t="shared" si="5"/>
        <v>548888</v>
      </c>
    </row>
    <row r="58" spans="1:5" ht="15.75" hidden="1" thickBot="1">
      <c r="A58" s="99">
        <v>2046</v>
      </c>
      <c r="B58" s="131">
        <f t="shared" si="6"/>
        <v>123087.01231550636</v>
      </c>
      <c r="C58" s="64">
        <f t="shared" si="3"/>
        <v>1276412.3177118008</v>
      </c>
      <c r="D58" s="101">
        <f t="shared" si="4"/>
        <v>179416</v>
      </c>
      <c r="E58" s="101">
        <f t="shared" si="5"/>
        <v>541641</v>
      </c>
    </row>
    <row r="59" spans="1:5" ht="15.75" hidden="1" thickBot="1">
      <c r="A59" s="99">
        <v>2047</v>
      </c>
      <c r="B59" s="131">
        <f t="shared" si="6"/>
        <v>125105.63931748066</v>
      </c>
      <c r="C59" s="64">
        <f t="shared" si="3"/>
        <v>1297345.4797222742</v>
      </c>
      <c r="D59" s="101">
        <f t="shared" si="4"/>
        <v>170429</v>
      </c>
      <c r="E59" s="101">
        <f t="shared" si="5"/>
        <v>534489</v>
      </c>
    </row>
    <row r="60" spans="1:5" ht="15.75" thickBot="1">
      <c r="A60" s="102" t="s">
        <v>350</v>
      </c>
      <c r="B60" s="103">
        <f>SUM(B35:B54)</f>
        <v>1970647.0617011636</v>
      </c>
      <c r="C60" s="103">
        <f>SUM(C35:C54)</f>
        <v>20435610.029841065</v>
      </c>
      <c r="D60" s="103">
        <f>SUM(D35:D54)</f>
        <v>7411444</v>
      </c>
      <c r="E60" s="103">
        <f>SUM(E35:E54)</f>
        <v>12880795</v>
      </c>
    </row>
  </sheetData>
  <sheetProtection algorithmName="SHA-512" hashValue="eI/GsXz8CU9DUaWT4a19f9aOQSHUxUX7rfLaqZKV6vvt0dSyYsUJG1mM8SCXJbAuJN4KynXVfrQe410wP0kA7A==" saltValue="1mSN1QOi8zHY1WOGlSrv3w==" spinCount="100000" sheet="1" objects="1" scenarios="1"/>
  <hyperlinks>
    <hyperlink ref="A6" r:id="rId1" xr:uid="{69FBF362-62B4-424B-80E7-9EEB470B0A35}"/>
    <hyperlink ref="C17" r:id="rId2" xr:uid="{E2958F4D-0B61-404D-B777-8EA2864F2492}"/>
    <hyperlink ref="P10" r:id="rId3" display="https://factfinder.census.gov/bkmk/table/1.0/en/DEC/10_DP/DPDP1/0500000US37057" xr:uid="{731BBD34-7DA8-471C-9FDA-55DC2E3F18F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3F52-4DC0-4822-AA8F-6137CD9DC4AC}">
  <sheetPr>
    <tabColor rgb="FF00B050"/>
  </sheetPr>
  <dimension ref="A1:N60"/>
  <sheetViews>
    <sheetView topLeftCell="A15" workbookViewId="0">
      <selection activeCell="C60" sqref="C60"/>
    </sheetView>
  </sheetViews>
  <sheetFormatPr defaultColWidth="9.140625" defaultRowHeight="15"/>
  <cols>
    <col min="1" max="1" width="28.85546875" style="16" customWidth="1"/>
    <col min="2" max="2" width="15.140625" style="16" bestFit="1" customWidth="1"/>
    <col min="3" max="4" width="12.7109375" style="16" customWidth="1"/>
    <col min="5" max="5" width="15.85546875" style="16" bestFit="1" customWidth="1"/>
    <col min="6" max="6" width="12.7109375" style="16" customWidth="1"/>
    <col min="7" max="7" width="14.85546875" style="16" customWidth="1"/>
    <col min="8" max="8" width="13" style="16" bestFit="1" customWidth="1"/>
    <col min="9" max="9" width="11" style="16" bestFit="1" customWidth="1"/>
    <col min="10" max="10" width="11.5703125" style="16" bestFit="1" customWidth="1"/>
    <col min="11" max="11" width="12.140625" style="16" bestFit="1" customWidth="1"/>
    <col min="12" max="12" width="13" style="16" customWidth="1"/>
    <col min="13" max="13" width="11.5703125" style="16" bestFit="1" customWidth="1"/>
    <col min="14" max="15" width="13.42578125" style="16" bestFit="1" customWidth="1"/>
    <col min="16" max="16" width="12.28515625" style="16" bestFit="1" customWidth="1"/>
    <col min="17" max="17" width="13.42578125" style="16" bestFit="1" customWidth="1"/>
    <col min="18" max="18" width="13.7109375" style="16" bestFit="1" customWidth="1"/>
    <col min="19" max="19" width="14.85546875" style="16" bestFit="1" customWidth="1"/>
    <col min="20" max="20" width="13.5703125" style="16" bestFit="1" customWidth="1"/>
    <col min="21" max="21" width="14.85546875" style="16" bestFit="1" customWidth="1"/>
    <col min="22" max="22" width="13.5703125" style="16" bestFit="1" customWidth="1"/>
    <col min="23" max="23" width="12.140625" style="16" bestFit="1" customWidth="1"/>
    <col min="24" max="27" width="9.5703125" style="16" customWidth="1"/>
    <col min="28" max="28" width="11.5703125" style="16" customWidth="1"/>
    <col min="29" max="16384" width="9.140625" style="16"/>
  </cols>
  <sheetData>
    <row r="1" spans="1:8" ht="24.75" customHeight="1">
      <c r="A1" s="16" t="s">
        <v>363</v>
      </c>
    </row>
    <row r="2" spans="1:8" hidden="1">
      <c r="F2" s="16" t="s">
        <v>364</v>
      </c>
    </row>
    <row r="3" spans="1:8" ht="45" hidden="1">
      <c r="G3" s="68" t="s">
        <v>365</v>
      </c>
      <c r="H3" s="68" t="s">
        <v>366</v>
      </c>
    </row>
    <row r="4" spans="1:8" hidden="1">
      <c r="A4" s="16" t="s">
        <v>367</v>
      </c>
      <c r="F4" s="16" t="s">
        <v>368</v>
      </c>
      <c r="G4" s="16">
        <v>0.21537999999999999</v>
      </c>
      <c r="H4" s="16">
        <v>0.92534000000000005</v>
      </c>
    </row>
    <row r="5" spans="1:8" hidden="1">
      <c r="B5" s="16" t="s">
        <v>369</v>
      </c>
      <c r="F5" s="16" t="s">
        <v>370</v>
      </c>
      <c r="G5" s="16">
        <v>0.62727999999999995</v>
      </c>
      <c r="H5" s="16">
        <v>7.2569999999999996E-2</v>
      </c>
    </row>
    <row r="6" spans="1:8" hidden="1">
      <c r="A6" s="16" t="s">
        <v>371</v>
      </c>
      <c r="B6" s="16">
        <v>1.1336922364284405</v>
      </c>
      <c r="C6" s="16" t="s">
        <v>372</v>
      </c>
      <c r="F6" s="16" t="s">
        <v>373</v>
      </c>
      <c r="G6" s="16">
        <v>0.104</v>
      </c>
      <c r="H6" s="16">
        <v>1.98E-3</v>
      </c>
    </row>
    <row r="7" spans="1:8" hidden="1">
      <c r="A7" s="16" t="s">
        <v>374</v>
      </c>
      <c r="B7" s="16">
        <v>78.924260047722569</v>
      </c>
      <c r="C7" s="16" t="s">
        <v>372</v>
      </c>
      <c r="F7" s="16" t="s">
        <v>375</v>
      </c>
      <c r="G7" s="16">
        <v>3.8580000000000003E-2</v>
      </c>
      <c r="H7" s="16">
        <v>8.0000000000000007E-5</v>
      </c>
    </row>
    <row r="8" spans="1:8" hidden="1">
      <c r="A8" s="16" t="s">
        <v>376</v>
      </c>
      <c r="B8" s="16">
        <v>203.40038528876843</v>
      </c>
      <c r="C8" s="16" t="s">
        <v>372</v>
      </c>
      <c r="F8" s="16" t="s">
        <v>377</v>
      </c>
      <c r="G8" s="16">
        <v>4.4200000000000003E-3</v>
      </c>
      <c r="H8" s="16">
        <v>0</v>
      </c>
    </row>
    <row r="9" spans="1:8" hidden="1">
      <c r="A9" s="16" t="s">
        <v>378</v>
      </c>
      <c r="F9" s="16" t="s">
        <v>379</v>
      </c>
      <c r="G9" s="16">
        <v>1.034E-2</v>
      </c>
      <c r="H9" s="16">
        <v>3.0000000000000001E-5</v>
      </c>
    </row>
    <row r="10" spans="1:8" hidden="1">
      <c r="A10" s="104" t="s">
        <v>380</v>
      </c>
      <c r="F10" s="16" t="s">
        <v>381</v>
      </c>
    </row>
    <row r="11" spans="1:8" hidden="1">
      <c r="F11" s="16" t="s">
        <v>382</v>
      </c>
    </row>
    <row r="14" spans="1:8">
      <c r="A14" s="223" t="s">
        <v>383</v>
      </c>
      <c r="B14" s="223" t="s">
        <v>384</v>
      </c>
      <c r="C14" s="223"/>
      <c r="D14" s="223"/>
      <c r="E14" s="223"/>
      <c r="F14" s="223"/>
    </row>
    <row r="15" spans="1:8" ht="45">
      <c r="A15" s="223"/>
      <c r="B15" s="105" t="s">
        <v>385</v>
      </c>
      <c r="C15" s="105" t="s">
        <v>386</v>
      </c>
      <c r="D15" s="105" t="s">
        <v>387</v>
      </c>
      <c r="E15" s="105" t="s">
        <v>388</v>
      </c>
      <c r="F15" s="105" t="s">
        <v>389</v>
      </c>
    </row>
    <row r="16" spans="1:8">
      <c r="A16" s="106" t="s">
        <v>390</v>
      </c>
      <c r="B16" s="106">
        <v>0.1</v>
      </c>
      <c r="C16" s="106">
        <v>0.15</v>
      </c>
      <c r="D16" s="106">
        <v>0.4</v>
      </c>
      <c r="E16" s="106">
        <v>0.65</v>
      </c>
      <c r="F16" s="106">
        <v>6.9</v>
      </c>
    </row>
    <row r="17" spans="1:14">
      <c r="A17" s="107" t="s">
        <v>7</v>
      </c>
      <c r="B17" s="107">
        <f>SUM(B16:B16)</f>
        <v>0.1</v>
      </c>
      <c r="C17" s="107">
        <f>SUM(C16:C16)</f>
        <v>0.15</v>
      </c>
      <c r="D17" s="107">
        <f>SUM(D16:D16)</f>
        <v>0.4</v>
      </c>
      <c r="E17" s="107">
        <f>SUM(E16:E16)</f>
        <v>0.65</v>
      </c>
      <c r="F17" s="107">
        <f>SUM(F16:F16)</f>
        <v>6.9</v>
      </c>
    </row>
    <row r="18" spans="1:14">
      <c r="A18" s="108" t="s">
        <v>391</v>
      </c>
      <c r="B18" s="109"/>
      <c r="C18" s="109"/>
      <c r="D18" s="109"/>
      <c r="E18" s="109"/>
      <c r="F18" s="109"/>
    </row>
    <row r="20" spans="1:14">
      <c r="A20" s="110" t="s">
        <v>248</v>
      </c>
      <c r="B20" s="224" t="s">
        <v>392</v>
      </c>
      <c r="C20" s="224"/>
      <c r="D20" s="224"/>
      <c r="E20" s="224"/>
      <c r="F20" s="224"/>
      <c r="G20" s="224" t="s">
        <v>393</v>
      </c>
      <c r="H20" s="224"/>
      <c r="I20" s="224"/>
      <c r="J20" s="224"/>
      <c r="K20" s="224"/>
    </row>
    <row r="21" spans="1:14" ht="45">
      <c r="A21" s="14" t="s">
        <v>358</v>
      </c>
      <c r="B21" s="111" t="s">
        <v>394</v>
      </c>
      <c r="C21" s="111" t="s">
        <v>395</v>
      </c>
      <c r="D21" s="111" t="s">
        <v>396</v>
      </c>
      <c r="E21" s="111" t="s">
        <v>397</v>
      </c>
      <c r="F21" s="111" t="s">
        <v>389</v>
      </c>
      <c r="G21" s="111" t="s">
        <v>394</v>
      </c>
      <c r="H21" s="111" t="s">
        <v>395</v>
      </c>
      <c r="I21" s="111" t="s">
        <v>396</v>
      </c>
      <c r="J21" s="111" t="s">
        <v>397</v>
      </c>
      <c r="K21" s="111" t="s">
        <v>389</v>
      </c>
      <c r="L21" s="111" t="s">
        <v>7</v>
      </c>
      <c r="M21" s="111" t="s">
        <v>398</v>
      </c>
      <c r="N21" s="111" t="s">
        <v>399</v>
      </c>
    </row>
    <row r="22" spans="1:14" hidden="1">
      <c r="A22" s="112">
        <v>2012</v>
      </c>
      <c r="B22" s="113"/>
      <c r="C22" s="113"/>
      <c r="D22" s="113"/>
      <c r="E22" s="29"/>
      <c r="F22" s="29"/>
      <c r="G22" s="29"/>
      <c r="H22" s="29"/>
      <c r="I22" s="29"/>
      <c r="J22" s="29"/>
      <c r="K22" s="29"/>
      <c r="L22" s="111"/>
      <c r="M22" s="111"/>
      <c r="N22" s="111"/>
    </row>
    <row r="23" spans="1:14" hidden="1">
      <c r="A23" s="112">
        <v>2013</v>
      </c>
      <c r="B23" s="113"/>
      <c r="C23" s="113"/>
      <c r="D23" s="113"/>
      <c r="E23" s="29"/>
      <c r="F23" s="29"/>
      <c r="G23" s="29"/>
      <c r="H23" s="29"/>
      <c r="I23" s="29"/>
      <c r="J23" s="29"/>
      <c r="K23" s="29"/>
      <c r="L23" s="111"/>
      <c r="M23" s="111"/>
      <c r="N23" s="111"/>
    </row>
    <row r="24" spans="1:14" hidden="1">
      <c r="A24" s="112">
        <v>2014</v>
      </c>
      <c r="B24" s="113"/>
      <c r="C24" s="113"/>
      <c r="D24" s="113"/>
      <c r="E24" s="29"/>
      <c r="F24" s="29"/>
      <c r="G24" s="29"/>
      <c r="H24" s="29"/>
      <c r="I24" s="29"/>
      <c r="J24" s="29"/>
      <c r="K24" s="29"/>
      <c r="L24" s="111"/>
      <c r="M24" s="111"/>
      <c r="N24" s="111"/>
    </row>
    <row r="25" spans="1:14" hidden="1">
      <c r="A25" s="112">
        <v>2015</v>
      </c>
      <c r="B25" s="113"/>
      <c r="C25" s="113"/>
      <c r="D25" s="113"/>
      <c r="E25" s="29"/>
      <c r="F25" s="29"/>
      <c r="G25" s="29"/>
      <c r="H25" s="29"/>
      <c r="I25" s="29"/>
      <c r="J25" s="29"/>
      <c r="K25" s="29"/>
      <c r="L25" s="111"/>
      <c r="M25" s="111"/>
      <c r="N25" s="111"/>
    </row>
    <row r="26" spans="1:14" hidden="1">
      <c r="A26" s="112">
        <v>2016</v>
      </c>
      <c r="B26" s="113"/>
      <c r="C26" s="113"/>
      <c r="D26" s="113"/>
      <c r="E26" s="29"/>
      <c r="F26" s="29"/>
      <c r="G26" s="29"/>
      <c r="H26" s="29"/>
      <c r="I26" s="29"/>
      <c r="J26" s="29"/>
      <c r="K26" s="29"/>
      <c r="L26" s="111"/>
      <c r="M26" s="111"/>
      <c r="N26" s="111"/>
    </row>
    <row r="27" spans="1:14" hidden="1">
      <c r="A27" s="112">
        <v>2017</v>
      </c>
      <c r="B27" s="113"/>
      <c r="C27" s="113"/>
      <c r="D27" s="113"/>
      <c r="E27" s="29"/>
      <c r="F27" s="29"/>
      <c r="G27" s="29"/>
      <c r="H27" s="29"/>
      <c r="I27" s="29"/>
      <c r="J27" s="29"/>
      <c r="K27" s="29"/>
      <c r="L27" s="111"/>
      <c r="M27" s="111"/>
      <c r="N27" s="111"/>
    </row>
    <row r="28" spans="1:14" hidden="1">
      <c r="A28" s="112">
        <v>2018</v>
      </c>
      <c r="B28" s="114"/>
      <c r="C28" s="114"/>
      <c r="D28" s="115"/>
      <c r="E28" s="29"/>
      <c r="F28" s="29"/>
      <c r="G28" s="29"/>
      <c r="H28" s="29"/>
      <c r="I28" s="29"/>
      <c r="J28" s="29"/>
      <c r="K28" s="29"/>
      <c r="L28" s="25"/>
      <c r="M28" s="25"/>
      <c r="N28" s="25"/>
    </row>
    <row r="29" spans="1:14" hidden="1">
      <c r="A29" s="112">
        <v>2019</v>
      </c>
      <c r="B29" s="114"/>
      <c r="C29" s="114"/>
      <c r="D29" s="115"/>
      <c r="E29" s="29"/>
      <c r="F29" s="29"/>
      <c r="G29" s="29"/>
      <c r="H29" s="29"/>
      <c r="I29" s="29"/>
      <c r="J29" s="29"/>
      <c r="K29" s="29"/>
      <c r="L29" s="25"/>
      <c r="M29" s="25"/>
      <c r="N29" s="25"/>
    </row>
    <row r="30" spans="1:14" hidden="1">
      <c r="A30" s="112">
        <v>2020</v>
      </c>
      <c r="B30" s="114"/>
      <c r="C30" s="114"/>
      <c r="D30" s="115"/>
      <c r="E30" s="29"/>
      <c r="F30" s="29"/>
      <c r="G30" s="29"/>
      <c r="H30" s="29"/>
      <c r="I30" s="29"/>
      <c r="J30" s="29"/>
      <c r="K30" s="29"/>
      <c r="L30" s="25"/>
      <c r="M30" s="25"/>
      <c r="N30" s="25"/>
    </row>
    <row r="31" spans="1:14" hidden="1">
      <c r="A31" s="112">
        <v>2021</v>
      </c>
      <c r="B31" s="114"/>
      <c r="C31" s="114"/>
      <c r="D31" s="115"/>
      <c r="E31" s="29"/>
      <c r="F31" s="29"/>
      <c r="G31" s="29"/>
      <c r="H31" s="29"/>
      <c r="I31" s="29"/>
      <c r="J31" s="29"/>
      <c r="K31" s="29"/>
      <c r="L31" s="25"/>
      <c r="M31" s="25"/>
      <c r="N31" s="25"/>
    </row>
    <row r="32" spans="1:14" hidden="1">
      <c r="A32" s="112">
        <v>2022</v>
      </c>
      <c r="B32" s="114"/>
      <c r="C32" s="114"/>
      <c r="D32" s="115"/>
      <c r="E32" s="29"/>
      <c r="F32" s="29"/>
      <c r="G32" s="29"/>
      <c r="H32" s="29"/>
      <c r="I32" s="29"/>
      <c r="J32" s="29"/>
      <c r="K32" s="29"/>
      <c r="L32" s="25"/>
      <c r="M32" s="25"/>
      <c r="N32" s="25"/>
    </row>
    <row r="33" spans="1:14">
      <c r="A33" s="112">
        <v>2023</v>
      </c>
      <c r="B33" s="116">
        <f t="shared" ref="B33:B57" si="0">$B$17</f>
        <v>0.1</v>
      </c>
      <c r="C33" s="116">
        <f t="shared" ref="C33:C57" si="1">$C$17</f>
        <v>0.15</v>
      </c>
      <c r="D33" s="116">
        <f t="shared" ref="D33:D57" si="2">$D$17</f>
        <v>0.4</v>
      </c>
      <c r="E33" s="116">
        <f t="shared" ref="E33:E57" si="3">$E$17</f>
        <v>0.65</v>
      </c>
      <c r="F33" s="116">
        <f t="shared" ref="F33:F57" si="4">$F$17</f>
        <v>6.9</v>
      </c>
      <c r="G33" s="117">
        <v>977624.19006479485</v>
      </c>
      <c r="H33" s="25">
        <v>70129.260259179267</v>
      </c>
      <c r="I33" s="25">
        <v>50917.926565874732</v>
      </c>
      <c r="J33" s="25">
        <v>42297.521598272135</v>
      </c>
      <c r="K33" s="25">
        <v>29877.417278617711</v>
      </c>
      <c r="L33" s="25">
        <f t="shared" ref="L33:L57" si="5">SUM(G33:K33)</f>
        <v>1170846.3157667385</v>
      </c>
      <c r="M33" s="25">
        <f>ROUND(L33/(1.07^(A33-2017)),0)</f>
        <v>780184</v>
      </c>
      <c r="N33" s="25">
        <f>ROUND(L33/(1.03^(A33-2017)),0)</f>
        <v>980565</v>
      </c>
    </row>
    <row r="34" spans="1:14">
      <c r="A34" s="112">
        <v>2024</v>
      </c>
      <c r="B34" s="116">
        <f t="shared" si="0"/>
        <v>0.1</v>
      </c>
      <c r="C34" s="116">
        <f t="shared" si="1"/>
        <v>0.15</v>
      </c>
      <c r="D34" s="116">
        <f t="shared" si="2"/>
        <v>0.4</v>
      </c>
      <c r="E34" s="116">
        <f t="shared" si="3"/>
        <v>0.65</v>
      </c>
      <c r="F34" s="116">
        <f t="shared" si="4"/>
        <v>6.9</v>
      </c>
      <c r="G34" s="117">
        <v>977624.19006479485</v>
      </c>
      <c r="H34" s="25">
        <v>70129.260259179267</v>
      </c>
      <c r="I34" s="25">
        <v>50917.926565874732</v>
      </c>
      <c r="J34" s="25">
        <v>42297.521598272135</v>
      </c>
      <c r="K34" s="25">
        <v>29877.417278617711</v>
      </c>
      <c r="L34" s="25">
        <f t="shared" si="5"/>
        <v>1170846.3157667385</v>
      </c>
      <c r="M34" s="25">
        <f>ROUND(L34/(1.07^(A34-2017)),0)</f>
        <v>729144</v>
      </c>
      <c r="N34" s="25">
        <f>ROUND(L34/(1.03^(A34-2017)),0)</f>
        <v>952005</v>
      </c>
    </row>
    <row r="35" spans="1:14">
      <c r="A35" s="112">
        <v>2025</v>
      </c>
      <c r="B35" s="116">
        <f t="shared" si="0"/>
        <v>0.1</v>
      </c>
      <c r="C35" s="116">
        <f t="shared" si="1"/>
        <v>0.15</v>
      </c>
      <c r="D35" s="116">
        <f t="shared" si="2"/>
        <v>0.4</v>
      </c>
      <c r="E35" s="116">
        <f t="shared" si="3"/>
        <v>0.65</v>
      </c>
      <c r="F35" s="116">
        <f t="shared" si="4"/>
        <v>6.9</v>
      </c>
      <c r="G35" s="117">
        <v>977624.19006479485</v>
      </c>
      <c r="H35" s="25">
        <v>70129.260259179267</v>
      </c>
      <c r="I35" s="25">
        <v>50917.926565874732</v>
      </c>
      <c r="J35" s="25">
        <v>42297.521598272135</v>
      </c>
      <c r="K35" s="25">
        <v>29877.417278617711</v>
      </c>
      <c r="L35" s="25">
        <f t="shared" si="5"/>
        <v>1170846.3157667385</v>
      </c>
      <c r="M35" s="25">
        <f>ROUND(L35/(1.07^(A35-2017)),0)</f>
        <v>681443</v>
      </c>
      <c r="N35" s="25">
        <f>ROUND(L35/(1.03^(A35-2017)),0)</f>
        <v>924277</v>
      </c>
    </row>
    <row r="36" spans="1:14">
      <c r="A36" s="112">
        <v>2026</v>
      </c>
      <c r="B36" s="116">
        <f t="shared" si="0"/>
        <v>0.1</v>
      </c>
      <c r="C36" s="116">
        <f t="shared" si="1"/>
        <v>0.15</v>
      </c>
      <c r="D36" s="116">
        <f t="shared" si="2"/>
        <v>0.4</v>
      </c>
      <c r="E36" s="116">
        <f t="shared" si="3"/>
        <v>0.65</v>
      </c>
      <c r="F36" s="116">
        <f t="shared" si="4"/>
        <v>6.9</v>
      </c>
      <c r="G36" s="117">
        <v>977624.19006479485</v>
      </c>
      <c r="H36" s="25">
        <v>70129.260259179267</v>
      </c>
      <c r="I36" s="25">
        <v>50917.926565874732</v>
      </c>
      <c r="J36" s="25">
        <v>42297.521598272135</v>
      </c>
      <c r="K36" s="25">
        <v>29877.417278617711</v>
      </c>
      <c r="L36" s="25">
        <f t="shared" si="5"/>
        <v>1170846.3157667385</v>
      </c>
      <c r="M36" s="25">
        <f>ROUND(L36/(1.07^(A36-2017)),0)</f>
        <v>636863</v>
      </c>
      <c r="N36" s="25">
        <f>ROUND(L36/(1.03^(A36-2017)),0)</f>
        <v>897356</v>
      </c>
    </row>
    <row r="37" spans="1:14">
      <c r="A37" s="112">
        <v>2027</v>
      </c>
      <c r="B37" s="116">
        <f t="shared" si="0"/>
        <v>0.1</v>
      </c>
      <c r="C37" s="116">
        <f t="shared" si="1"/>
        <v>0.15</v>
      </c>
      <c r="D37" s="116">
        <f t="shared" si="2"/>
        <v>0.4</v>
      </c>
      <c r="E37" s="116">
        <f t="shared" si="3"/>
        <v>0.65</v>
      </c>
      <c r="F37" s="116">
        <f t="shared" si="4"/>
        <v>6.9</v>
      </c>
      <c r="G37" s="117">
        <v>977624.19006479485</v>
      </c>
      <c r="H37" s="25">
        <v>70129.260259179267</v>
      </c>
      <c r="I37" s="25">
        <v>50917.926565874732</v>
      </c>
      <c r="J37" s="25">
        <v>42297.521598272135</v>
      </c>
      <c r="K37" s="25">
        <v>29877.417278617711</v>
      </c>
      <c r="L37" s="25">
        <f t="shared" si="5"/>
        <v>1170846.3157667385</v>
      </c>
      <c r="M37" s="25">
        <f>ROUND(L37/(1.07^(A37-2017)),0)</f>
        <v>595199</v>
      </c>
      <c r="N37" s="25">
        <f>ROUND(L37/(1.03^(A37-2017)),0)</f>
        <v>871220</v>
      </c>
    </row>
    <row r="38" spans="1:14">
      <c r="A38" s="112">
        <v>2028</v>
      </c>
      <c r="B38" s="116">
        <f t="shared" si="0"/>
        <v>0.1</v>
      </c>
      <c r="C38" s="116">
        <f t="shared" si="1"/>
        <v>0.15</v>
      </c>
      <c r="D38" s="116">
        <f t="shared" si="2"/>
        <v>0.4</v>
      </c>
      <c r="E38" s="116">
        <f t="shared" si="3"/>
        <v>0.65</v>
      </c>
      <c r="F38" s="116">
        <f t="shared" si="4"/>
        <v>6.9</v>
      </c>
      <c r="G38" s="117">
        <v>977624.19006479485</v>
      </c>
      <c r="H38" s="25">
        <v>70129.260259179267</v>
      </c>
      <c r="I38" s="25">
        <v>50917.926565874732</v>
      </c>
      <c r="J38" s="25">
        <v>42297.521598272135</v>
      </c>
      <c r="K38" s="25">
        <v>29877.417278617711</v>
      </c>
      <c r="L38" s="25">
        <f t="shared" si="5"/>
        <v>1170846.3157667385</v>
      </c>
      <c r="M38" s="25">
        <f t="shared" ref="M38:M57" si="6">ROUND(L38/(1.07^(A38-2017)),0)</f>
        <v>556261</v>
      </c>
      <c r="N38" s="25">
        <f t="shared" ref="N38:N57" si="7">ROUND(L38/(1.03^(A38-2017)),0)</f>
        <v>845844</v>
      </c>
    </row>
    <row r="39" spans="1:14">
      <c r="A39" s="112">
        <v>2029</v>
      </c>
      <c r="B39" s="116">
        <f t="shared" si="0"/>
        <v>0.1</v>
      </c>
      <c r="C39" s="116">
        <f t="shared" si="1"/>
        <v>0.15</v>
      </c>
      <c r="D39" s="116">
        <f t="shared" si="2"/>
        <v>0.4</v>
      </c>
      <c r="E39" s="116">
        <f t="shared" si="3"/>
        <v>0.65</v>
      </c>
      <c r="F39" s="116">
        <f t="shared" si="4"/>
        <v>6.9</v>
      </c>
      <c r="G39" s="117">
        <v>977624.19006479485</v>
      </c>
      <c r="H39" s="25">
        <v>70129.260259179267</v>
      </c>
      <c r="I39" s="25">
        <v>50917.926565874732</v>
      </c>
      <c r="J39" s="25">
        <v>42297.521598272135</v>
      </c>
      <c r="K39" s="25">
        <v>29877.417278617711</v>
      </c>
      <c r="L39" s="25">
        <f t="shared" si="5"/>
        <v>1170846.3157667385</v>
      </c>
      <c r="M39" s="25">
        <f t="shared" si="6"/>
        <v>519870</v>
      </c>
      <c r="N39" s="25">
        <f t="shared" si="7"/>
        <v>821208</v>
      </c>
    </row>
    <row r="40" spans="1:14">
      <c r="A40" s="112">
        <v>2030</v>
      </c>
      <c r="B40" s="116">
        <f t="shared" si="0"/>
        <v>0.1</v>
      </c>
      <c r="C40" s="116">
        <f t="shared" si="1"/>
        <v>0.15</v>
      </c>
      <c r="D40" s="116">
        <f t="shared" si="2"/>
        <v>0.4</v>
      </c>
      <c r="E40" s="116">
        <f t="shared" si="3"/>
        <v>0.65</v>
      </c>
      <c r="F40" s="116">
        <f t="shared" si="4"/>
        <v>6.9</v>
      </c>
      <c r="G40" s="117">
        <v>977624.19006479485</v>
      </c>
      <c r="H40" s="25">
        <v>70129.260259179267</v>
      </c>
      <c r="I40" s="25">
        <v>50917.926565874732</v>
      </c>
      <c r="J40" s="25">
        <v>42297.521598272135</v>
      </c>
      <c r="K40" s="25">
        <v>29877.417278617711</v>
      </c>
      <c r="L40" s="25">
        <f t="shared" si="5"/>
        <v>1170846.3157667385</v>
      </c>
      <c r="M40" s="25">
        <f t="shared" si="6"/>
        <v>485860</v>
      </c>
      <c r="N40" s="25">
        <f t="shared" si="7"/>
        <v>797289</v>
      </c>
    </row>
    <row r="41" spans="1:14">
      <c r="A41" s="112">
        <v>2031</v>
      </c>
      <c r="B41" s="116">
        <f t="shared" si="0"/>
        <v>0.1</v>
      </c>
      <c r="C41" s="116">
        <f t="shared" si="1"/>
        <v>0.15</v>
      </c>
      <c r="D41" s="116">
        <f t="shared" si="2"/>
        <v>0.4</v>
      </c>
      <c r="E41" s="116">
        <f t="shared" si="3"/>
        <v>0.65</v>
      </c>
      <c r="F41" s="116">
        <f t="shared" si="4"/>
        <v>6.9</v>
      </c>
      <c r="G41" s="117">
        <v>977624.19006479485</v>
      </c>
      <c r="H41" s="25">
        <v>70129.260259179267</v>
      </c>
      <c r="I41" s="25">
        <v>50917.926565874732</v>
      </c>
      <c r="J41" s="25">
        <v>42297.521598272135</v>
      </c>
      <c r="K41" s="25">
        <v>29877.417278617711</v>
      </c>
      <c r="L41" s="25">
        <f t="shared" si="5"/>
        <v>1170846.3157667385</v>
      </c>
      <c r="M41" s="25">
        <f t="shared" si="6"/>
        <v>454074</v>
      </c>
      <c r="N41" s="25">
        <f t="shared" si="7"/>
        <v>774067</v>
      </c>
    </row>
    <row r="42" spans="1:14">
      <c r="A42" s="112">
        <v>2032</v>
      </c>
      <c r="B42" s="116">
        <f t="shared" si="0"/>
        <v>0.1</v>
      </c>
      <c r="C42" s="116">
        <f t="shared" si="1"/>
        <v>0.15</v>
      </c>
      <c r="D42" s="116">
        <f t="shared" si="2"/>
        <v>0.4</v>
      </c>
      <c r="E42" s="116">
        <f t="shared" si="3"/>
        <v>0.65</v>
      </c>
      <c r="F42" s="116">
        <f t="shared" si="4"/>
        <v>6.9</v>
      </c>
      <c r="G42" s="117">
        <v>977624.19006479485</v>
      </c>
      <c r="H42" s="25">
        <v>70129.260259179267</v>
      </c>
      <c r="I42" s="25">
        <v>50917.926565874732</v>
      </c>
      <c r="J42" s="25">
        <v>42297.521598272135</v>
      </c>
      <c r="K42" s="25">
        <v>29877.417278617711</v>
      </c>
      <c r="L42" s="25">
        <f t="shared" si="5"/>
        <v>1170846.3157667385</v>
      </c>
      <c r="M42" s="25">
        <f t="shared" si="6"/>
        <v>424369</v>
      </c>
      <c r="N42" s="25">
        <f t="shared" si="7"/>
        <v>751522</v>
      </c>
    </row>
    <row r="43" spans="1:14">
      <c r="A43" s="112">
        <v>2033</v>
      </c>
      <c r="B43" s="116">
        <f t="shared" si="0"/>
        <v>0.1</v>
      </c>
      <c r="C43" s="116">
        <f t="shared" si="1"/>
        <v>0.15</v>
      </c>
      <c r="D43" s="116">
        <f t="shared" si="2"/>
        <v>0.4</v>
      </c>
      <c r="E43" s="116">
        <f t="shared" si="3"/>
        <v>0.65</v>
      </c>
      <c r="F43" s="116">
        <f t="shared" si="4"/>
        <v>6.9</v>
      </c>
      <c r="G43" s="117">
        <v>977624.19006479485</v>
      </c>
      <c r="H43" s="25">
        <v>70129.260259179267</v>
      </c>
      <c r="I43" s="25">
        <v>50917.926565874732</v>
      </c>
      <c r="J43" s="25">
        <v>42297.521598272135</v>
      </c>
      <c r="K43" s="25">
        <v>29877.417278617711</v>
      </c>
      <c r="L43" s="25">
        <f t="shared" si="5"/>
        <v>1170846.3157667385</v>
      </c>
      <c r="M43" s="25">
        <f t="shared" si="6"/>
        <v>396606</v>
      </c>
      <c r="N43" s="25">
        <f t="shared" si="7"/>
        <v>729633</v>
      </c>
    </row>
    <row r="44" spans="1:14">
      <c r="A44" s="112">
        <v>2034</v>
      </c>
      <c r="B44" s="116">
        <f t="shared" si="0"/>
        <v>0.1</v>
      </c>
      <c r="C44" s="116">
        <f t="shared" si="1"/>
        <v>0.15</v>
      </c>
      <c r="D44" s="116">
        <f t="shared" si="2"/>
        <v>0.4</v>
      </c>
      <c r="E44" s="116">
        <f t="shared" si="3"/>
        <v>0.65</v>
      </c>
      <c r="F44" s="116">
        <f t="shared" si="4"/>
        <v>6.9</v>
      </c>
      <c r="G44" s="117">
        <v>977624.19006479485</v>
      </c>
      <c r="H44" s="25">
        <v>70129.260259179267</v>
      </c>
      <c r="I44" s="25">
        <v>50917.926565874732</v>
      </c>
      <c r="J44" s="25">
        <v>42297.521598272135</v>
      </c>
      <c r="K44" s="25">
        <v>29877.417278617711</v>
      </c>
      <c r="L44" s="25">
        <f t="shared" si="5"/>
        <v>1170846.3157667385</v>
      </c>
      <c r="M44" s="25">
        <f t="shared" si="6"/>
        <v>370660</v>
      </c>
      <c r="N44" s="25">
        <f t="shared" si="7"/>
        <v>708381</v>
      </c>
    </row>
    <row r="45" spans="1:14">
      <c r="A45" s="112">
        <v>2035</v>
      </c>
      <c r="B45" s="116">
        <f t="shared" si="0"/>
        <v>0.1</v>
      </c>
      <c r="C45" s="116">
        <f t="shared" si="1"/>
        <v>0.15</v>
      </c>
      <c r="D45" s="116">
        <f t="shared" si="2"/>
        <v>0.4</v>
      </c>
      <c r="E45" s="116">
        <f t="shared" si="3"/>
        <v>0.65</v>
      </c>
      <c r="F45" s="116">
        <f t="shared" si="4"/>
        <v>6.9</v>
      </c>
      <c r="G45" s="117">
        <v>977624.19006479485</v>
      </c>
      <c r="H45" s="25">
        <v>70129.260259179267</v>
      </c>
      <c r="I45" s="25">
        <v>50917.926565874732</v>
      </c>
      <c r="J45" s="25">
        <v>42297.521598272135</v>
      </c>
      <c r="K45" s="25">
        <v>29877.417278617711</v>
      </c>
      <c r="L45" s="25">
        <f t="shared" si="5"/>
        <v>1170846.3157667385</v>
      </c>
      <c r="M45" s="25">
        <f t="shared" si="6"/>
        <v>346411</v>
      </c>
      <c r="N45" s="25">
        <f t="shared" si="7"/>
        <v>687749</v>
      </c>
    </row>
    <row r="46" spans="1:14">
      <c r="A46" s="112">
        <v>2036</v>
      </c>
      <c r="B46" s="116">
        <f t="shared" si="0"/>
        <v>0.1</v>
      </c>
      <c r="C46" s="116">
        <f t="shared" si="1"/>
        <v>0.15</v>
      </c>
      <c r="D46" s="116">
        <f t="shared" si="2"/>
        <v>0.4</v>
      </c>
      <c r="E46" s="116">
        <f t="shared" si="3"/>
        <v>0.65</v>
      </c>
      <c r="F46" s="116">
        <f t="shared" si="4"/>
        <v>6.9</v>
      </c>
      <c r="G46" s="117">
        <v>977624.19006479485</v>
      </c>
      <c r="H46" s="25">
        <v>70129.260259179267</v>
      </c>
      <c r="I46" s="25">
        <v>50917.926565874732</v>
      </c>
      <c r="J46" s="25">
        <v>42297.521598272135</v>
      </c>
      <c r="K46" s="25">
        <v>29877.417278617711</v>
      </c>
      <c r="L46" s="25">
        <f t="shared" si="5"/>
        <v>1170846.3157667385</v>
      </c>
      <c r="M46" s="25">
        <f t="shared" si="6"/>
        <v>323749</v>
      </c>
      <c r="N46" s="25">
        <f t="shared" si="7"/>
        <v>667717</v>
      </c>
    </row>
    <row r="47" spans="1:14">
      <c r="A47" s="112">
        <v>2037</v>
      </c>
      <c r="B47" s="116">
        <f t="shared" si="0"/>
        <v>0.1</v>
      </c>
      <c r="C47" s="116">
        <f t="shared" si="1"/>
        <v>0.15</v>
      </c>
      <c r="D47" s="116">
        <f t="shared" si="2"/>
        <v>0.4</v>
      </c>
      <c r="E47" s="116">
        <f t="shared" si="3"/>
        <v>0.65</v>
      </c>
      <c r="F47" s="116">
        <f t="shared" si="4"/>
        <v>6.9</v>
      </c>
      <c r="G47" s="117">
        <v>977624.19006479485</v>
      </c>
      <c r="H47" s="25">
        <v>70129.260259179267</v>
      </c>
      <c r="I47" s="25">
        <v>50917.926565874732</v>
      </c>
      <c r="J47" s="25">
        <v>42297.521598272135</v>
      </c>
      <c r="K47" s="25">
        <v>29877.417278617711</v>
      </c>
      <c r="L47" s="25">
        <f t="shared" si="5"/>
        <v>1170846.3157667385</v>
      </c>
      <c r="M47" s="25">
        <f t="shared" si="6"/>
        <v>302569</v>
      </c>
      <c r="N47" s="25">
        <f t="shared" si="7"/>
        <v>648269</v>
      </c>
    </row>
    <row r="48" spans="1:14">
      <c r="A48" s="112">
        <v>2038</v>
      </c>
      <c r="B48" s="116">
        <f t="shared" si="0"/>
        <v>0.1</v>
      </c>
      <c r="C48" s="116">
        <f t="shared" si="1"/>
        <v>0.15</v>
      </c>
      <c r="D48" s="116">
        <f t="shared" si="2"/>
        <v>0.4</v>
      </c>
      <c r="E48" s="116">
        <f t="shared" si="3"/>
        <v>0.65</v>
      </c>
      <c r="F48" s="116">
        <f t="shared" si="4"/>
        <v>6.9</v>
      </c>
      <c r="G48" s="117">
        <v>977624.19006479485</v>
      </c>
      <c r="H48" s="25">
        <v>70129.260259179267</v>
      </c>
      <c r="I48" s="25">
        <v>50917.926565874732</v>
      </c>
      <c r="J48" s="25">
        <v>42297.521598272135</v>
      </c>
      <c r="K48" s="25">
        <v>29877.417278617711</v>
      </c>
      <c r="L48" s="25">
        <f t="shared" si="5"/>
        <v>1170846.3157667385</v>
      </c>
      <c r="M48" s="25">
        <f t="shared" si="6"/>
        <v>282775</v>
      </c>
      <c r="N48" s="25">
        <f t="shared" si="7"/>
        <v>629388</v>
      </c>
    </row>
    <row r="49" spans="1:14">
      <c r="A49" s="112">
        <v>2039</v>
      </c>
      <c r="B49" s="116">
        <f t="shared" si="0"/>
        <v>0.1</v>
      </c>
      <c r="C49" s="116">
        <f t="shared" si="1"/>
        <v>0.15</v>
      </c>
      <c r="D49" s="116">
        <f t="shared" si="2"/>
        <v>0.4</v>
      </c>
      <c r="E49" s="116">
        <f t="shared" si="3"/>
        <v>0.65</v>
      </c>
      <c r="F49" s="116">
        <f t="shared" si="4"/>
        <v>6.9</v>
      </c>
      <c r="G49" s="117">
        <v>977624.19006479485</v>
      </c>
      <c r="H49" s="25">
        <v>70129.260259179267</v>
      </c>
      <c r="I49" s="25">
        <v>50917.926565874732</v>
      </c>
      <c r="J49" s="25">
        <v>42297.521598272135</v>
      </c>
      <c r="K49" s="25">
        <v>29877.417278617711</v>
      </c>
      <c r="L49" s="25">
        <f t="shared" si="5"/>
        <v>1170846.3157667385</v>
      </c>
      <c r="M49" s="25">
        <f t="shared" si="6"/>
        <v>264275</v>
      </c>
      <c r="N49" s="25">
        <f t="shared" si="7"/>
        <v>611056</v>
      </c>
    </row>
    <row r="50" spans="1:14">
      <c r="A50" s="112">
        <v>2040</v>
      </c>
      <c r="B50" s="116">
        <f t="shared" si="0"/>
        <v>0.1</v>
      </c>
      <c r="C50" s="116">
        <f t="shared" si="1"/>
        <v>0.15</v>
      </c>
      <c r="D50" s="116">
        <f t="shared" si="2"/>
        <v>0.4</v>
      </c>
      <c r="E50" s="116">
        <f t="shared" si="3"/>
        <v>0.65</v>
      </c>
      <c r="F50" s="116">
        <f t="shared" si="4"/>
        <v>6.9</v>
      </c>
      <c r="G50" s="117">
        <v>977624.19006479485</v>
      </c>
      <c r="H50" s="25">
        <v>70129.260259179267</v>
      </c>
      <c r="I50" s="25">
        <v>50917.926565874732</v>
      </c>
      <c r="J50" s="25">
        <v>42297.521598272135</v>
      </c>
      <c r="K50" s="25">
        <v>29877.417278617711</v>
      </c>
      <c r="L50" s="25">
        <f t="shared" si="5"/>
        <v>1170846.3157667385</v>
      </c>
      <c r="M50" s="25">
        <f t="shared" si="6"/>
        <v>246986</v>
      </c>
      <c r="N50" s="25">
        <f t="shared" si="7"/>
        <v>593258</v>
      </c>
    </row>
    <row r="51" spans="1:14" ht="15" customHeight="1">
      <c r="A51" s="112">
        <v>2041</v>
      </c>
      <c r="B51" s="116">
        <f t="shared" si="0"/>
        <v>0.1</v>
      </c>
      <c r="C51" s="116">
        <f t="shared" si="1"/>
        <v>0.15</v>
      </c>
      <c r="D51" s="116">
        <f t="shared" si="2"/>
        <v>0.4</v>
      </c>
      <c r="E51" s="116">
        <f t="shared" si="3"/>
        <v>0.65</v>
      </c>
      <c r="F51" s="116">
        <f t="shared" si="4"/>
        <v>6.9</v>
      </c>
      <c r="G51" s="117">
        <v>977624.19006479485</v>
      </c>
      <c r="H51" s="25">
        <v>70129.260259179267</v>
      </c>
      <c r="I51" s="25">
        <v>50917.926565874732</v>
      </c>
      <c r="J51" s="25">
        <v>42297.521598272135</v>
      </c>
      <c r="K51" s="25">
        <v>29877.417278617711</v>
      </c>
      <c r="L51" s="25">
        <f t="shared" si="5"/>
        <v>1170846.3157667385</v>
      </c>
      <c r="M51" s="25">
        <f t="shared" si="6"/>
        <v>230828</v>
      </c>
      <c r="N51" s="25">
        <f t="shared" si="7"/>
        <v>575979</v>
      </c>
    </row>
    <row r="52" spans="1:14" ht="15" customHeight="1">
      <c r="A52" s="112">
        <v>2042</v>
      </c>
      <c r="B52" s="116">
        <f t="shared" si="0"/>
        <v>0.1</v>
      </c>
      <c r="C52" s="116">
        <f t="shared" si="1"/>
        <v>0.15</v>
      </c>
      <c r="D52" s="116">
        <f t="shared" si="2"/>
        <v>0.4</v>
      </c>
      <c r="E52" s="116">
        <f t="shared" si="3"/>
        <v>0.65</v>
      </c>
      <c r="F52" s="116">
        <f t="shared" si="4"/>
        <v>6.9</v>
      </c>
      <c r="G52" s="117">
        <v>977624.19006479485</v>
      </c>
      <c r="H52" s="25">
        <v>70129.260259179267</v>
      </c>
      <c r="I52" s="25">
        <v>50917.926565874732</v>
      </c>
      <c r="J52" s="25">
        <v>42297.521598272135</v>
      </c>
      <c r="K52" s="25">
        <v>29877.417278617711</v>
      </c>
      <c r="L52" s="25">
        <f t="shared" si="5"/>
        <v>1170846.3157667385</v>
      </c>
      <c r="M52" s="25">
        <f t="shared" si="6"/>
        <v>215727</v>
      </c>
      <c r="N52" s="25">
        <f t="shared" si="7"/>
        <v>559203</v>
      </c>
    </row>
    <row r="53" spans="1:14" ht="15" hidden="1" customHeight="1">
      <c r="A53" s="118">
        <v>2043</v>
      </c>
      <c r="B53" s="119">
        <f t="shared" si="0"/>
        <v>0.1</v>
      </c>
      <c r="C53" s="119">
        <f t="shared" si="1"/>
        <v>0.15</v>
      </c>
      <c r="D53" s="119">
        <f t="shared" si="2"/>
        <v>0.4</v>
      </c>
      <c r="E53" s="119">
        <f t="shared" si="3"/>
        <v>0.65</v>
      </c>
      <c r="F53" s="119">
        <f t="shared" si="4"/>
        <v>6.9</v>
      </c>
      <c r="G53" s="120">
        <v>977624.19006479485</v>
      </c>
      <c r="H53" s="65">
        <v>70129.260259179267</v>
      </c>
      <c r="I53" s="65">
        <v>50917.926565874732</v>
      </c>
      <c r="J53" s="65">
        <v>42297.521598272135</v>
      </c>
      <c r="K53" s="65">
        <v>29877.417278617711</v>
      </c>
      <c r="L53" s="65">
        <f t="shared" si="5"/>
        <v>1170846.3157667385</v>
      </c>
      <c r="M53" s="65">
        <f t="shared" si="6"/>
        <v>201614</v>
      </c>
      <c r="N53" s="65">
        <f t="shared" si="7"/>
        <v>542915</v>
      </c>
    </row>
    <row r="54" spans="1:14" ht="15" hidden="1" customHeight="1">
      <c r="A54" s="118">
        <v>2044</v>
      </c>
      <c r="B54" s="119">
        <f t="shared" si="0"/>
        <v>0.1</v>
      </c>
      <c r="C54" s="119">
        <f t="shared" si="1"/>
        <v>0.15</v>
      </c>
      <c r="D54" s="119">
        <f t="shared" si="2"/>
        <v>0.4</v>
      </c>
      <c r="E54" s="119">
        <f t="shared" si="3"/>
        <v>0.65</v>
      </c>
      <c r="F54" s="119">
        <f t="shared" si="4"/>
        <v>6.9</v>
      </c>
      <c r="G54" s="120">
        <v>977624.19006479485</v>
      </c>
      <c r="H54" s="65">
        <v>70129.260259179267</v>
      </c>
      <c r="I54" s="65">
        <v>50917.926565874732</v>
      </c>
      <c r="J54" s="65">
        <v>42297.521598272135</v>
      </c>
      <c r="K54" s="65">
        <v>29877.417278617711</v>
      </c>
      <c r="L54" s="65">
        <f t="shared" si="5"/>
        <v>1170846.3157667385</v>
      </c>
      <c r="M54" s="65">
        <f t="shared" si="6"/>
        <v>188425</v>
      </c>
      <c r="N54" s="65">
        <f t="shared" si="7"/>
        <v>527102</v>
      </c>
    </row>
    <row r="55" spans="1:14" ht="15" hidden="1" customHeight="1">
      <c r="A55" s="118">
        <v>2045</v>
      </c>
      <c r="B55" s="119">
        <f t="shared" si="0"/>
        <v>0.1</v>
      </c>
      <c r="C55" s="119">
        <f t="shared" si="1"/>
        <v>0.15</v>
      </c>
      <c r="D55" s="119">
        <f t="shared" si="2"/>
        <v>0.4</v>
      </c>
      <c r="E55" s="119">
        <f t="shared" si="3"/>
        <v>0.65</v>
      </c>
      <c r="F55" s="119">
        <f t="shared" si="4"/>
        <v>6.9</v>
      </c>
      <c r="G55" s="120">
        <v>977624.19006479485</v>
      </c>
      <c r="H55" s="65">
        <v>70129.260259179267</v>
      </c>
      <c r="I55" s="65">
        <v>50917.926565874732</v>
      </c>
      <c r="J55" s="65">
        <v>42297.521598272135</v>
      </c>
      <c r="K55" s="65">
        <v>29877.417278617711</v>
      </c>
      <c r="L55" s="65">
        <f t="shared" si="5"/>
        <v>1170846.3157667385</v>
      </c>
      <c r="M55" s="65">
        <f t="shared" si="6"/>
        <v>176098</v>
      </c>
      <c r="N55" s="65">
        <f t="shared" si="7"/>
        <v>511750</v>
      </c>
    </row>
    <row r="56" spans="1:14" ht="15" hidden="1" customHeight="1">
      <c r="A56" s="118">
        <v>2046</v>
      </c>
      <c r="B56" s="119">
        <f t="shared" si="0"/>
        <v>0.1</v>
      </c>
      <c r="C56" s="119">
        <f t="shared" si="1"/>
        <v>0.15</v>
      </c>
      <c r="D56" s="119">
        <f t="shared" si="2"/>
        <v>0.4</v>
      </c>
      <c r="E56" s="119">
        <f t="shared" si="3"/>
        <v>0.65</v>
      </c>
      <c r="F56" s="119">
        <f t="shared" si="4"/>
        <v>6.9</v>
      </c>
      <c r="G56" s="120">
        <v>977624.19006479485</v>
      </c>
      <c r="H56" s="65">
        <v>70129.260259179267</v>
      </c>
      <c r="I56" s="65">
        <v>50917.926565874732</v>
      </c>
      <c r="J56" s="65">
        <v>42297.521598272135</v>
      </c>
      <c r="K56" s="65">
        <v>29877.417278617711</v>
      </c>
      <c r="L56" s="65">
        <f t="shared" si="5"/>
        <v>1170846.3157667385</v>
      </c>
      <c r="M56" s="65">
        <f t="shared" si="6"/>
        <v>164577</v>
      </c>
      <c r="N56" s="65">
        <f t="shared" si="7"/>
        <v>496844</v>
      </c>
    </row>
    <row r="57" spans="1:14" ht="15" hidden="1" customHeight="1">
      <c r="A57" s="118">
        <v>2047</v>
      </c>
      <c r="B57" s="119">
        <f t="shared" si="0"/>
        <v>0.1</v>
      </c>
      <c r="C57" s="119">
        <f t="shared" si="1"/>
        <v>0.15</v>
      </c>
      <c r="D57" s="119">
        <f t="shared" si="2"/>
        <v>0.4</v>
      </c>
      <c r="E57" s="119">
        <f t="shared" si="3"/>
        <v>0.65</v>
      </c>
      <c r="F57" s="119">
        <f t="shared" si="4"/>
        <v>6.9</v>
      </c>
      <c r="G57" s="120">
        <v>977624.19006479485</v>
      </c>
      <c r="H57" s="65">
        <v>70129.260259179267</v>
      </c>
      <c r="I57" s="65">
        <v>50917.926565874732</v>
      </c>
      <c r="J57" s="65">
        <v>42297.521598272135</v>
      </c>
      <c r="K57" s="65">
        <v>29877.417278617711</v>
      </c>
      <c r="L57" s="65">
        <f t="shared" si="5"/>
        <v>1170846.3157667385</v>
      </c>
      <c r="M57" s="65">
        <f t="shared" si="6"/>
        <v>153811</v>
      </c>
      <c r="N57" s="65">
        <f t="shared" si="7"/>
        <v>482373</v>
      </c>
    </row>
    <row r="58" spans="1:14" ht="15" customHeight="1">
      <c r="A58" s="121" t="s">
        <v>350</v>
      </c>
      <c r="B58" s="122">
        <f t="shared" ref="B58:N58" si="8">SUM(B33:B52)</f>
        <v>2.0000000000000004</v>
      </c>
      <c r="C58" s="122">
        <f t="shared" si="8"/>
        <v>2.9999999999999991</v>
      </c>
      <c r="D58" s="122">
        <f t="shared" si="8"/>
        <v>8.0000000000000018</v>
      </c>
      <c r="E58" s="122">
        <f t="shared" si="8"/>
        <v>13.000000000000004</v>
      </c>
      <c r="F58" s="122">
        <f t="shared" si="8"/>
        <v>138.00000000000006</v>
      </c>
      <c r="G58" s="122">
        <f t="shared" si="8"/>
        <v>19552483.801295903</v>
      </c>
      <c r="H58" s="122">
        <f t="shared" si="8"/>
        <v>1402585.2051835849</v>
      </c>
      <c r="I58" s="122">
        <f t="shared" si="8"/>
        <v>1018358.5313174945</v>
      </c>
      <c r="J58" s="122">
        <f t="shared" si="8"/>
        <v>845950.43196544272</v>
      </c>
      <c r="K58" s="122">
        <f t="shared" si="8"/>
        <v>597548.3455723545</v>
      </c>
      <c r="L58" s="122">
        <f t="shared" si="8"/>
        <v>23416926.315334763</v>
      </c>
      <c r="M58" s="122">
        <f t="shared" si="8"/>
        <v>8843853</v>
      </c>
      <c r="N58" s="122">
        <f t="shared" si="8"/>
        <v>15025986</v>
      </c>
    </row>
    <row r="59" spans="1:14" ht="15" customHeight="1"/>
    <row r="60" spans="1:14" ht="15" customHeight="1"/>
  </sheetData>
  <sheetProtection algorithmName="SHA-512" hashValue="9UIOCV4pcjsKqkwNIqwXfVEnUBf84TTp7hVuZyw77eUCBoG4HmAVYGHPJKultK8nq0vwmjg+OVVxLZBCPcKj1A==" saltValue="bK9wVTuVn+tK0u76Hg60aw==" spinCount="100000" sheet="1" objects="1" scenarios="1"/>
  <mergeCells count="4">
    <mergeCell ref="A14:A15"/>
    <mergeCell ref="B14:F14"/>
    <mergeCell ref="B20:F20"/>
    <mergeCell ref="G20:K20"/>
  </mergeCells>
  <hyperlinks>
    <hyperlink ref="A10" r:id="rId1" xr:uid="{5968FF3E-03A2-44CA-8291-51C12AA60BC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3AB-6B13-4AF6-BE84-D387A9AB44C0}">
  <sheetPr>
    <tabColor rgb="FF00B050"/>
  </sheetPr>
  <dimension ref="A1:M180"/>
  <sheetViews>
    <sheetView workbookViewId="0">
      <selection activeCell="H31" sqref="H31"/>
    </sheetView>
  </sheetViews>
  <sheetFormatPr defaultColWidth="8.85546875" defaultRowHeight="15"/>
  <cols>
    <col min="1" max="1" width="28.85546875" style="27" customWidth="1"/>
    <col min="2" max="2" width="15" style="27" customWidth="1"/>
    <col min="3" max="3" width="15.7109375" style="27" bestFit="1" customWidth="1"/>
    <col min="4" max="4" width="14.85546875" style="27" customWidth="1"/>
    <col min="5" max="5" width="12.28515625" style="27" customWidth="1"/>
    <col min="6" max="7" width="12.140625" style="27" customWidth="1"/>
    <col min="8" max="8" width="10.85546875" style="27" customWidth="1"/>
    <col min="9" max="10" width="15.7109375" style="27" customWidth="1"/>
    <col min="11" max="11" width="16.42578125" style="27" bestFit="1" customWidth="1"/>
    <col min="12" max="30" width="15.7109375" style="27" bestFit="1" customWidth="1"/>
    <col min="31" max="31" width="13.140625" style="27" bestFit="1" customWidth="1"/>
    <col min="32" max="16384" width="8.85546875" style="27"/>
  </cols>
  <sheetData>
    <row r="1" spans="1:13" s="132" customFormat="1" ht="21">
      <c r="A1" s="132" t="s">
        <v>423</v>
      </c>
    </row>
    <row r="2" spans="1:13" s="132" customFormat="1" ht="21"/>
    <row r="3" spans="1:13" s="16" customFormat="1" ht="15.75" thickBot="1">
      <c r="A3" s="16" t="s">
        <v>424</v>
      </c>
      <c r="D3" s="128">
        <f>Inputs!B24</f>
        <v>0.02</v>
      </c>
      <c r="L3" s="128">
        <v>7.0000000000000007E-2</v>
      </c>
      <c r="M3" s="128">
        <v>0.03</v>
      </c>
    </row>
    <row r="4" spans="1:13" s="16" customFormat="1" ht="45">
      <c r="A4" s="72" t="s">
        <v>358</v>
      </c>
      <c r="B4" s="133" t="s">
        <v>425</v>
      </c>
      <c r="C4" s="133" t="s">
        <v>426</v>
      </c>
      <c r="D4" s="133" t="s">
        <v>427</v>
      </c>
      <c r="E4" s="133" t="s">
        <v>428</v>
      </c>
      <c r="F4" s="133" t="s">
        <v>429</v>
      </c>
      <c r="G4" s="133" t="s">
        <v>430</v>
      </c>
      <c r="H4" s="133" t="s">
        <v>431</v>
      </c>
      <c r="I4" s="133" t="s">
        <v>432</v>
      </c>
      <c r="J4" s="133" t="s">
        <v>433</v>
      </c>
      <c r="K4" s="133" t="s">
        <v>434</v>
      </c>
      <c r="L4" s="134" t="s">
        <v>435</v>
      </c>
      <c r="M4" s="134" t="s">
        <v>435</v>
      </c>
    </row>
    <row r="5" spans="1:13" s="16" customFormat="1" hidden="1">
      <c r="A5" s="99">
        <v>2015</v>
      </c>
      <c r="B5" s="135">
        <v>30</v>
      </c>
      <c r="C5" s="136">
        <v>0.44444444444444442</v>
      </c>
      <c r="D5" s="137">
        <f t="shared" ref="D5:D29" si="0">C5*$D$3</f>
        <v>8.8888888888888889E-3</v>
      </c>
      <c r="E5" s="135"/>
      <c r="F5" s="131">
        <v>0</v>
      </c>
      <c r="G5" s="131">
        <v>0</v>
      </c>
      <c r="H5" s="131">
        <v>0</v>
      </c>
      <c r="I5" s="65">
        <v>0</v>
      </c>
      <c r="J5" s="65">
        <v>0</v>
      </c>
      <c r="K5" s="65">
        <f t="shared" ref="K5:K37" si="1">SUM(I5:J5)</f>
        <v>0</v>
      </c>
      <c r="L5" s="101">
        <f t="shared" ref="L5:L29" si="2">ROUND(K5/(1.07^(A5-2017)),0)</f>
        <v>0</v>
      </c>
      <c r="M5" s="101">
        <f t="shared" ref="M5:M29" si="3">ROUND(K5/(1.03^(A5-2017)),0)</f>
        <v>0</v>
      </c>
    </row>
    <row r="6" spans="1:13" s="16" customFormat="1" hidden="1">
      <c r="A6" s="99">
        <v>2016</v>
      </c>
      <c r="B6" s="131">
        <f>B5+(($B$30-$B$5)/($A$30-$A$5))</f>
        <v>30</v>
      </c>
      <c r="C6" s="136">
        <v>0.44444444444444442</v>
      </c>
      <c r="D6" s="137">
        <f t="shared" si="0"/>
        <v>8.8888888888888889E-3</v>
      </c>
      <c r="E6" s="131">
        <v>52400</v>
      </c>
      <c r="F6" s="131">
        <v>130417.77777777778</v>
      </c>
      <c r="G6" s="131">
        <v>15128.462222222224</v>
      </c>
      <c r="H6" s="131">
        <v>160252.14862222222</v>
      </c>
      <c r="I6" s="65">
        <v>4438880.6817500545</v>
      </c>
      <c r="J6" s="65">
        <v>2301037.4122307268</v>
      </c>
      <c r="K6" s="65">
        <f t="shared" si="1"/>
        <v>6739918.0939807817</v>
      </c>
      <c r="L6" s="101">
        <f t="shared" si="2"/>
        <v>7211712</v>
      </c>
      <c r="M6" s="101">
        <f t="shared" si="3"/>
        <v>6942116</v>
      </c>
    </row>
    <row r="7" spans="1:13" s="16" customFormat="1" hidden="1">
      <c r="A7" s="99">
        <v>2017</v>
      </c>
      <c r="B7" s="131">
        <f t="shared" ref="B7:B12" si="4">B6+(($B$30-$B$5)/($A$30-$A$5))</f>
        <v>30</v>
      </c>
      <c r="C7" s="136">
        <v>0.44444444444444442</v>
      </c>
      <c r="D7" s="137">
        <f t="shared" si="0"/>
        <v>8.8888888888888889E-3</v>
      </c>
      <c r="E7" s="131">
        <v>54197.302282115175</v>
      </c>
      <c r="F7" s="131">
        <v>134891.06345770886</v>
      </c>
      <c r="G7" s="131">
        <v>15647.363361094229</v>
      </c>
      <c r="H7" s="131">
        <v>165748.74313429432</v>
      </c>
      <c r="I7" s="65">
        <v>4591132.7882261286</v>
      </c>
      <c r="J7" s="65">
        <v>2379962.2174260444</v>
      </c>
      <c r="K7" s="65">
        <f t="shared" si="1"/>
        <v>6971095.0056521725</v>
      </c>
      <c r="L7" s="101">
        <f t="shared" si="2"/>
        <v>6971095</v>
      </c>
      <c r="M7" s="101">
        <f t="shared" si="3"/>
        <v>6971095</v>
      </c>
    </row>
    <row r="8" spans="1:13" s="16" customFormat="1" hidden="1">
      <c r="A8" s="99">
        <v>2018</v>
      </c>
      <c r="B8" s="131">
        <f t="shared" si="4"/>
        <v>30</v>
      </c>
      <c r="C8" s="136">
        <v>0.44444444444444442</v>
      </c>
      <c r="D8" s="137">
        <f t="shared" si="0"/>
        <v>8.8888888888888889E-3</v>
      </c>
      <c r="E8" s="131">
        <v>56056.251424789436</v>
      </c>
      <c r="F8" s="131">
        <v>139517.78132392038</v>
      </c>
      <c r="G8" s="131">
        <v>16184.062633574766</v>
      </c>
      <c r="H8" s="131">
        <v>171433.86897958041</v>
      </c>
      <c r="I8" s="65">
        <v>4748607.0904736994</v>
      </c>
      <c r="J8" s="65">
        <v>2461594.11675291</v>
      </c>
      <c r="K8" s="65">
        <f t="shared" si="1"/>
        <v>7210201.2072266098</v>
      </c>
      <c r="L8" s="101">
        <f t="shared" si="2"/>
        <v>6738506</v>
      </c>
      <c r="M8" s="101">
        <f t="shared" si="3"/>
        <v>7000195</v>
      </c>
    </row>
    <row r="9" spans="1:13" s="16" customFormat="1" hidden="1">
      <c r="A9" s="99">
        <v>2019</v>
      </c>
      <c r="B9" s="131">
        <f t="shared" si="4"/>
        <v>30</v>
      </c>
      <c r="C9" s="136">
        <v>0.44444444444444442</v>
      </c>
      <c r="D9" s="137">
        <f t="shared" si="0"/>
        <v>8.8888888888888889E-3</v>
      </c>
      <c r="E9" s="131">
        <v>57978.961894495464</v>
      </c>
      <c r="F9" s="131">
        <v>144303.19404852204</v>
      </c>
      <c r="G9" s="131">
        <v>16739.170509628559</v>
      </c>
      <c r="H9" s="131">
        <v>177313.99271906193</v>
      </c>
      <c r="I9" s="65">
        <v>4911482.7080419557</v>
      </c>
      <c r="J9" s="65">
        <v>2546025.96262469</v>
      </c>
      <c r="K9" s="65">
        <f t="shared" si="1"/>
        <v>7457508.6706666462</v>
      </c>
      <c r="L9" s="101">
        <f t="shared" si="2"/>
        <v>6513677</v>
      </c>
      <c r="M9" s="101">
        <f t="shared" si="3"/>
        <v>7029417</v>
      </c>
    </row>
    <row r="10" spans="1:13" s="16" customFormat="1" hidden="1">
      <c r="A10" s="99">
        <v>2020</v>
      </c>
      <c r="B10" s="131">
        <f t="shared" si="4"/>
        <v>30</v>
      </c>
      <c r="C10" s="136">
        <v>0.44444444444444442</v>
      </c>
      <c r="D10" s="137">
        <f t="shared" si="0"/>
        <v>8.8888888888888889E-3</v>
      </c>
      <c r="E10" s="131">
        <v>59967.620683190988</v>
      </c>
      <c r="F10" s="131">
        <v>149252.74481149757</v>
      </c>
      <c r="G10" s="131">
        <v>17313.318398133721</v>
      </c>
      <c r="H10" s="131">
        <v>183395.80271457575</v>
      </c>
      <c r="I10" s="65">
        <v>5079944.904220067</v>
      </c>
      <c r="J10" s="65">
        <v>2633353.7922611376</v>
      </c>
      <c r="K10" s="65">
        <f t="shared" si="1"/>
        <v>7713298.6964812046</v>
      </c>
      <c r="L10" s="101">
        <f t="shared" si="2"/>
        <v>6296349</v>
      </c>
      <c r="M10" s="101">
        <f t="shared" si="3"/>
        <v>7058761</v>
      </c>
    </row>
    <row r="11" spans="1:13" s="16" customFormat="1" hidden="1">
      <c r="A11" s="99">
        <v>2021</v>
      </c>
      <c r="B11" s="131">
        <f t="shared" si="4"/>
        <v>30</v>
      </c>
      <c r="C11" s="136">
        <v>0.44444444444444442</v>
      </c>
      <c r="D11" s="137">
        <f t="shared" si="0"/>
        <v>8.8888888888888889E-3</v>
      </c>
      <c r="E11" s="131">
        <v>62024.489795918395</v>
      </c>
      <c r="F11" s="131">
        <v>154372.06349206358</v>
      </c>
      <c r="G11" s="131">
        <v>17907.159365079377</v>
      </c>
      <c r="H11" s="131">
        <v>189686.21673650804</v>
      </c>
      <c r="I11" s="65">
        <v>5254185.296765374</v>
      </c>
      <c r="J11" s="65">
        <v>2723676.9369261679</v>
      </c>
      <c r="K11" s="65">
        <f t="shared" si="1"/>
        <v>7977862.2336915415</v>
      </c>
      <c r="L11" s="101">
        <f t="shared" si="2"/>
        <v>6086273</v>
      </c>
      <c r="M11" s="101">
        <f t="shared" si="3"/>
        <v>7088227</v>
      </c>
    </row>
    <row r="12" spans="1:13" s="16" customFormat="1" hidden="1">
      <c r="A12" s="99">
        <v>2022</v>
      </c>
      <c r="B12" s="131">
        <f t="shared" si="4"/>
        <v>30</v>
      </c>
      <c r="C12" s="136">
        <v>0.44444444444444442</v>
      </c>
      <c r="D12" s="137">
        <f t="shared" si="0"/>
        <v>8.8888888888888889E-3</v>
      </c>
      <c r="E12" s="131">
        <v>64151.90882372819</v>
      </c>
      <c r="F12" s="131">
        <v>159666.97307239019</v>
      </c>
      <c r="G12" s="131">
        <v>18521.368876397264</v>
      </c>
      <c r="H12" s="131">
        <v>196192.38983243017</v>
      </c>
      <c r="I12" s="65">
        <v>5434402.0758595038</v>
      </c>
      <c r="J12" s="65">
        <v>2817098.1349124634</v>
      </c>
      <c r="K12" s="65">
        <f t="shared" si="1"/>
        <v>8251500.2107719667</v>
      </c>
      <c r="L12" s="101">
        <f t="shared" si="2"/>
        <v>5883206</v>
      </c>
      <c r="M12" s="101">
        <f t="shared" si="3"/>
        <v>7117817</v>
      </c>
    </row>
    <row r="13" spans="1:13" s="16" customFormat="1">
      <c r="A13" s="138">
        <v>2023</v>
      </c>
      <c r="B13" s="139">
        <v>30</v>
      </c>
      <c r="C13" s="140">
        <v>0.44444444444444442</v>
      </c>
      <c r="D13" s="141">
        <f t="shared" si="0"/>
        <v>8.8888888888888889E-3</v>
      </c>
      <c r="E13" s="139">
        <v>66352.297604852836</v>
      </c>
      <c r="F13" s="139">
        <v>165143.49626096708</v>
      </c>
      <c r="G13" s="139">
        <v>19156.645566272182</v>
      </c>
      <c r="H13" s="139">
        <v>202921.72246562591</v>
      </c>
      <c r="I13" s="25">
        <v>5620800.2295403006</v>
      </c>
      <c r="J13" s="25">
        <v>2913723.6484014057</v>
      </c>
      <c r="K13" s="25">
        <f t="shared" si="1"/>
        <v>8534523.8779417053</v>
      </c>
      <c r="L13" s="142">
        <f t="shared" si="2"/>
        <v>5686914</v>
      </c>
      <c r="M13" s="142">
        <f t="shared" si="3"/>
        <v>7147529</v>
      </c>
    </row>
    <row r="14" spans="1:13" s="16" customFormat="1">
      <c r="A14" s="138">
        <v>2024</v>
      </c>
      <c r="B14" s="139">
        <v>30</v>
      </c>
      <c r="C14" s="140">
        <v>0.44444444444444442</v>
      </c>
      <c r="D14" s="141">
        <f t="shared" si="0"/>
        <v>8.8888888888888889E-3</v>
      </c>
      <c r="E14" s="139">
        <v>68628.158977157931</v>
      </c>
      <c r="F14" s="139">
        <v>170807.86234314862</v>
      </c>
      <c r="G14" s="139">
        <v>19813.71203180524</v>
      </c>
      <c r="H14" s="139">
        <v>209881.86893276728</v>
      </c>
      <c r="I14" s="25">
        <v>5813591.7768659908</v>
      </c>
      <c r="J14" s="25">
        <v>3013663.3843312669</v>
      </c>
      <c r="K14" s="25">
        <f t="shared" si="1"/>
        <v>8827255.1611972582</v>
      </c>
      <c r="L14" s="142">
        <f t="shared" si="2"/>
        <v>5497171</v>
      </c>
      <c r="M14" s="142">
        <f t="shared" si="3"/>
        <v>7177366</v>
      </c>
    </row>
    <row r="15" spans="1:13" s="16" customFormat="1">
      <c r="A15" s="138">
        <v>2025</v>
      </c>
      <c r="B15" s="139">
        <v>30</v>
      </c>
      <c r="C15" s="140">
        <v>0.44444444444444442</v>
      </c>
      <c r="D15" s="141">
        <f t="shared" si="0"/>
        <v>8.8888888888888889E-3</v>
      </c>
      <c r="E15" s="139">
        <v>70982.081625001607</v>
      </c>
      <c r="F15" s="139">
        <v>176666.51426667065</v>
      </c>
      <c r="G15" s="139">
        <v>20493.315654933798</v>
      </c>
      <c r="H15" s="139">
        <v>217080.7460703142</v>
      </c>
      <c r="I15" s="25">
        <v>6012996.0090768151</v>
      </c>
      <c r="J15" s="25">
        <v>3117031.0194111429</v>
      </c>
      <c r="K15" s="25">
        <f t="shared" si="1"/>
        <v>9130027.028487958</v>
      </c>
      <c r="L15" s="142">
        <f t="shared" si="2"/>
        <v>5313759</v>
      </c>
      <c r="M15" s="142">
        <f t="shared" si="3"/>
        <v>7207328</v>
      </c>
    </row>
    <row r="16" spans="1:13" s="16" customFormat="1">
      <c r="A16" s="138">
        <v>2026</v>
      </c>
      <c r="B16" s="139">
        <v>30</v>
      </c>
      <c r="C16" s="140">
        <v>0.44444444444444442</v>
      </c>
      <c r="D16" s="141">
        <f t="shared" si="0"/>
        <v>8.8888888888888889E-3</v>
      </c>
      <c r="E16" s="139">
        <v>73416.743023740171</v>
      </c>
      <c r="F16" s="139">
        <v>182726.11597019777</v>
      </c>
      <c r="G16" s="139">
        <v>21196.229452542942</v>
      </c>
      <c r="H16" s="139">
        <v>224526.54225954021</v>
      </c>
      <c r="I16" s="25">
        <v>6219239.7390284045</v>
      </c>
      <c r="J16" s="25">
        <v>3223944.1294228123</v>
      </c>
      <c r="K16" s="25">
        <f t="shared" si="1"/>
        <v>9443183.8684512172</v>
      </c>
      <c r="L16" s="142">
        <f t="shared" si="2"/>
        <v>5136466</v>
      </c>
      <c r="M16" s="142">
        <f t="shared" si="3"/>
        <v>7237414</v>
      </c>
    </row>
    <row r="17" spans="1:13" s="16" customFormat="1">
      <c r="A17" s="138">
        <v>2027</v>
      </c>
      <c r="B17" s="139">
        <v>30</v>
      </c>
      <c r="C17" s="140">
        <v>0.44444444444444442</v>
      </c>
      <c r="D17" s="141">
        <f t="shared" si="0"/>
        <v>8.8888888888888889E-3</v>
      </c>
      <c r="E17" s="139">
        <v>75934.912485229317</v>
      </c>
      <c r="F17" s="139">
        <v>188993.55996323744</v>
      </c>
      <c r="G17" s="139">
        <v>21923.252955735545</v>
      </c>
      <c r="H17" s="139">
        <v>232227.72674042761</v>
      </c>
      <c r="I17" s="25">
        <v>6432557.5591806388</v>
      </c>
      <c r="J17" s="25">
        <v>3334524.3229576102</v>
      </c>
      <c r="K17" s="25">
        <f t="shared" si="1"/>
        <v>9767081.8821382485</v>
      </c>
      <c r="L17" s="142">
        <f t="shared" si="2"/>
        <v>4965089</v>
      </c>
      <c r="M17" s="142">
        <f t="shared" si="3"/>
        <v>7267626</v>
      </c>
    </row>
    <row r="18" spans="1:13" s="16" customFormat="1">
      <c r="A18" s="138">
        <v>2028</v>
      </c>
      <c r="B18" s="139">
        <v>30</v>
      </c>
      <c r="C18" s="140">
        <v>0.44444444444444442</v>
      </c>
      <c r="D18" s="141">
        <f t="shared" si="0"/>
        <v>8.8888888888888889E-3</v>
      </c>
      <c r="E18" s="139">
        <v>78720.879911361539</v>
      </c>
      <c r="F18" s="139">
        <v>195927.52333494427</v>
      </c>
      <c r="G18" s="139">
        <v>48981.880833736068</v>
      </c>
      <c r="H18" s="139">
        <v>204254.4430766794</v>
      </c>
      <c r="I18" s="25">
        <v>5657715.7269326085</v>
      </c>
      <c r="J18" s="25">
        <v>2932859.990799624</v>
      </c>
      <c r="K18" s="25">
        <f t="shared" si="1"/>
        <v>8590575.7177322321</v>
      </c>
      <c r="L18" s="142">
        <f t="shared" si="2"/>
        <v>4081321</v>
      </c>
      <c r="M18" s="142">
        <f t="shared" si="3"/>
        <v>6206015</v>
      </c>
    </row>
    <row r="19" spans="1:13" s="16" customFormat="1">
      <c r="A19" s="138">
        <v>2029</v>
      </c>
      <c r="B19" s="139">
        <v>30</v>
      </c>
      <c r="C19" s="140">
        <v>0.44444444444444442</v>
      </c>
      <c r="D19" s="141">
        <f t="shared" si="0"/>
        <v>8.8888888888888889E-3</v>
      </c>
      <c r="E19" s="139">
        <v>81609.061381672436</v>
      </c>
      <c r="F19" s="139">
        <v>203115.88610549585</v>
      </c>
      <c r="G19" s="139">
        <v>50778.971526373964</v>
      </c>
      <c r="H19" s="139">
        <v>211748.31126497942</v>
      </c>
      <c r="I19" s="25">
        <v>5865291.0201103846</v>
      </c>
      <c r="J19" s="25">
        <v>3040463.3596895742</v>
      </c>
      <c r="K19" s="25">
        <f t="shared" si="1"/>
        <v>8905754.3797999583</v>
      </c>
      <c r="L19" s="142">
        <f t="shared" si="2"/>
        <v>3954261</v>
      </c>
      <c r="M19" s="142">
        <f t="shared" si="3"/>
        <v>6246317</v>
      </c>
    </row>
    <row r="20" spans="1:13" s="16" customFormat="1">
      <c r="A20" s="138">
        <v>2030</v>
      </c>
      <c r="B20" s="139">
        <v>30</v>
      </c>
      <c r="C20" s="140">
        <v>0.44444444444444442</v>
      </c>
      <c r="D20" s="141">
        <f t="shared" si="0"/>
        <v>8.8888888888888889E-3</v>
      </c>
      <c r="E20" s="139">
        <v>84603.207015682216</v>
      </c>
      <c r="F20" s="139">
        <v>210567.98190569796</v>
      </c>
      <c r="G20" s="139">
        <v>52641.99547642449</v>
      </c>
      <c r="H20" s="139">
        <v>219517.12113669011</v>
      </c>
      <c r="I20" s="25">
        <v>6080482.0197706763</v>
      </c>
      <c r="J20" s="25">
        <v>3152014.5764252404</v>
      </c>
      <c r="K20" s="25">
        <f t="shared" si="1"/>
        <v>9232496.5961959176</v>
      </c>
      <c r="L20" s="142">
        <f t="shared" si="2"/>
        <v>3831158</v>
      </c>
      <c r="M20" s="142">
        <f t="shared" si="3"/>
        <v>6286881</v>
      </c>
    </row>
    <row r="21" spans="1:13" s="16" customFormat="1">
      <c r="A21" s="138">
        <v>2031</v>
      </c>
      <c r="B21" s="139">
        <v>30</v>
      </c>
      <c r="C21" s="140">
        <v>0.44444444444444442</v>
      </c>
      <c r="D21" s="141">
        <f t="shared" si="0"/>
        <v>8.8888888888888889E-3</v>
      </c>
      <c r="E21" s="139">
        <v>87707.204520622501</v>
      </c>
      <c r="F21" s="139">
        <v>218293.48680688266</v>
      </c>
      <c r="G21" s="139">
        <v>54573.371701720665</v>
      </c>
      <c r="H21" s="139">
        <v>227570.95999617517</v>
      </c>
      <c r="I21" s="25">
        <v>6303568.1377083091</v>
      </c>
      <c r="J21" s="25">
        <v>3267658.4831502629</v>
      </c>
      <c r="K21" s="25">
        <f t="shared" si="1"/>
        <v>9571226.6208585724</v>
      </c>
      <c r="L21" s="142">
        <f t="shared" si="2"/>
        <v>3711887</v>
      </c>
      <c r="M21" s="142">
        <f t="shared" si="3"/>
        <v>6327708</v>
      </c>
    </row>
    <row r="22" spans="1:13" s="16" customFormat="1">
      <c r="A22" s="138">
        <v>2032</v>
      </c>
      <c r="B22" s="139">
        <v>30</v>
      </c>
      <c r="C22" s="140">
        <v>0.44444444444444442</v>
      </c>
      <c r="D22" s="141">
        <f t="shared" si="0"/>
        <v>8.8888888888888889E-3</v>
      </c>
      <c r="E22" s="139">
        <v>90925.084239376389</v>
      </c>
      <c r="F22" s="139">
        <v>226302.43188467014</v>
      </c>
      <c r="G22" s="139">
        <v>56575.607971167534</v>
      </c>
      <c r="H22" s="139">
        <v>235920.28523976859</v>
      </c>
      <c r="I22" s="25">
        <v>6534839.0370258838</v>
      </c>
      <c r="J22" s="25">
        <v>3387545.2361053294</v>
      </c>
      <c r="K22" s="25">
        <f t="shared" si="1"/>
        <v>9922384.2731312141</v>
      </c>
      <c r="L22" s="142">
        <f t="shared" si="2"/>
        <v>3596329</v>
      </c>
      <c r="M22" s="142">
        <f t="shared" si="3"/>
        <v>6368801</v>
      </c>
    </row>
    <row r="23" spans="1:13" s="16" customFormat="1">
      <c r="A23" s="138">
        <v>2033</v>
      </c>
      <c r="B23" s="139">
        <v>30</v>
      </c>
      <c r="C23" s="140">
        <v>0.44444444444444442</v>
      </c>
      <c r="D23" s="141">
        <f t="shared" si="0"/>
        <v>8.8888888888888889E-3</v>
      </c>
      <c r="E23" s="139">
        <v>94261.024383621698</v>
      </c>
      <c r="F23" s="139">
        <v>234605.21624368065</v>
      </c>
      <c r="G23" s="139">
        <v>58651.304060920163</v>
      </c>
      <c r="H23" s="139">
        <v>244575.93793403707</v>
      </c>
      <c r="I23" s="25">
        <v>6774595.0082428474</v>
      </c>
      <c r="J23" s="25">
        <v>3511830.5005964758</v>
      </c>
      <c r="K23" s="25">
        <f t="shared" si="1"/>
        <v>10286425.508839324</v>
      </c>
      <c r="L23" s="142">
        <f t="shared" si="2"/>
        <v>3484368</v>
      </c>
      <c r="M23" s="142">
        <f t="shared" si="3"/>
        <v>6410160</v>
      </c>
    </row>
    <row r="24" spans="1:13" s="16" customFormat="1">
      <c r="A24" s="138">
        <v>2034</v>
      </c>
      <c r="B24" s="139">
        <v>30</v>
      </c>
      <c r="C24" s="140">
        <v>0.44444444444444442</v>
      </c>
      <c r="D24" s="141">
        <f t="shared" si="0"/>
        <v>8.8888888888888889E-3</v>
      </c>
      <c r="E24" s="139">
        <v>97719.356458972499</v>
      </c>
      <c r="F24" s="139">
        <v>243212.62052010934</v>
      </c>
      <c r="G24" s="139">
        <v>60803.155130027335</v>
      </c>
      <c r="H24" s="139">
        <v>253549.15689221397</v>
      </c>
      <c r="I24" s="25">
        <v>7023147.3592035975</v>
      </c>
      <c r="J24" s="25">
        <v>3640675.6531165703</v>
      </c>
      <c r="K24" s="25">
        <f t="shared" si="1"/>
        <v>10663823.012320168</v>
      </c>
      <c r="L24" s="142">
        <f t="shared" si="2"/>
        <v>3375893</v>
      </c>
      <c r="M24" s="142">
        <f t="shared" si="3"/>
        <v>6451788</v>
      </c>
    </row>
    <row r="25" spans="1:13" s="16" customFormat="1">
      <c r="A25" s="138">
        <v>2035</v>
      </c>
      <c r="B25" s="139">
        <v>30</v>
      </c>
      <c r="C25" s="140">
        <v>0.44444444444444442</v>
      </c>
      <c r="D25" s="141">
        <f t="shared" si="0"/>
        <v>8.8888888888888889E-3</v>
      </c>
      <c r="E25" s="139">
        <v>101304.57088916303</v>
      </c>
      <c r="F25" s="139">
        <v>252135.82087969466</v>
      </c>
      <c r="G25" s="139">
        <v>63033.955219923664</v>
      </c>
      <c r="H25" s="139">
        <v>262851.59326708165</v>
      </c>
      <c r="I25" s="25">
        <v>7280818.8192908615</v>
      </c>
      <c r="J25" s="25">
        <v>3774247.9908823948</v>
      </c>
      <c r="K25" s="25">
        <f t="shared" si="1"/>
        <v>11055066.810173256</v>
      </c>
      <c r="L25" s="142">
        <f t="shared" si="2"/>
        <v>3270795</v>
      </c>
      <c r="M25" s="142">
        <f t="shared" si="3"/>
        <v>6493687</v>
      </c>
    </row>
    <row r="26" spans="1:13" s="16" customFormat="1">
      <c r="A26" s="138">
        <v>2036</v>
      </c>
      <c r="B26" s="139">
        <v>30</v>
      </c>
      <c r="C26" s="140">
        <v>0.44444444444444442</v>
      </c>
      <c r="D26" s="141">
        <f t="shared" si="0"/>
        <v>8.8888888888888889E-3</v>
      </c>
      <c r="E26" s="139">
        <v>105021.32284657669</v>
      </c>
      <c r="F26" s="139">
        <v>261386.40352925751</v>
      </c>
      <c r="G26" s="139">
        <v>65346.600882314378</v>
      </c>
      <c r="H26" s="139">
        <v>272495.32567925093</v>
      </c>
      <c r="I26" s="25">
        <v>7547943.9584692381</v>
      </c>
      <c r="J26" s="25">
        <v>3912720.9490594207</v>
      </c>
      <c r="K26" s="25">
        <f t="shared" si="1"/>
        <v>11460664.907528659</v>
      </c>
      <c r="L26" s="142">
        <f t="shared" si="2"/>
        <v>3168969</v>
      </c>
      <c r="M26" s="142">
        <f t="shared" si="3"/>
        <v>6535857</v>
      </c>
    </row>
    <row r="27" spans="1:13" s="16" customFormat="1">
      <c r="A27" s="138">
        <v>2037</v>
      </c>
      <c r="B27" s="139">
        <v>30</v>
      </c>
      <c r="C27" s="140">
        <v>0.44444444444444442</v>
      </c>
      <c r="D27" s="141">
        <f t="shared" si="0"/>
        <v>8.8888888888888889E-3</v>
      </c>
      <c r="E27" s="139">
        <v>108874.43829669051</v>
      </c>
      <c r="F27" s="139">
        <v>270976.37976065197</v>
      </c>
      <c r="G27" s="139">
        <v>67744.094940162991</v>
      </c>
      <c r="H27" s="139">
        <v>282492.87590047967</v>
      </c>
      <c r="I27" s="25">
        <v>7824869.6217029626</v>
      </c>
      <c r="J27" s="25">
        <v>4056274.3259563148</v>
      </c>
      <c r="K27" s="25">
        <f t="shared" si="1"/>
        <v>11881143.947659276</v>
      </c>
      <c r="L27" s="142">
        <f t="shared" si="2"/>
        <v>3070313</v>
      </c>
      <c r="M27" s="142">
        <f t="shared" si="3"/>
        <v>6578301</v>
      </c>
    </row>
    <row r="28" spans="1:13" s="16" customFormat="1">
      <c r="A28" s="138">
        <v>2038</v>
      </c>
      <c r="B28" s="139">
        <v>30</v>
      </c>
      <c r="C28" s="140">
        <v>0.44444444444444442</v>
      </c>
      <c r="D28" s="141">
        <f t="shared" si="0"/>
        <v>8.8888888888888889E-3</v>
      </c>
      <c r="E28" s="139">
        <v>112868.92026428378</v>
      </c>
      <c r="F28" s="139">
        <v>280918.20154666185</v>
      </c>
      <c r="G28" s="139">
        <v>70229.550386665462</v>
      </c>
      <c r="H28" s="139">
        <v>292857.22511239495</v>
      </c>
      <c r="I28" s="25">
        <v>8111955.3793119714</v>
      </c>
      <c r="J28" s="25">
        <v>4205094.5164815728</v>
      </c>
      <c r="K28" s="25">
        <f t="shared" si="1"/>
        <v>12317049.895793544</v>
      </c>
      <c r="L28" s="142">
        <f t="shared" si="2"/>
        <v>2974729</v>
      </c>
      <c r="M28" s="142">
        <f t="shared" si="3"/>
        <v>6621021</v>
      </c>
    </row>
    <row r="29" spans="1:13" s="16" customFormat="1">
      <c r="A29" s="138">
        <v>2039</v>
      </c>
      <c r="B29" s="139">
        <v>30</v>
      </c>
      <c r="C29" s="140">
        <v>0.44444444444444442</v>
      </c>
      <c r="D29" s="141">
        <f t="shared" si="0"/>
        <v>8.8888888888888889E-3</v>
      </c>
      <c r="E29" s="139">
        <v>117009.95532954673</v>
      </c>
      <c r="F29" s="139">
        <v>291224.77770909411</v>
      </c>
      <c r="G29" s="139">
        <v>72806.194427273527</v>
      </c>
      <c r="H29" s="139">
        <v>303601.83076173061</v>
      </c>
      <c r="I29" s="25">
        <v>8409573.9938510638</v>
      </c>
      <c r="J29" s="25">
        <v>4359374.7541654408</v>
      </c>
      <c r="K29" s="25">
        <f t="shared" si="1"/>
        <v>12768948.748016505</v>
      </c>
      <c r="L29" s="142">
        <f t="shared" si="2"/>
        <v>2882120</v>
      </c>
      <c r="M29" s="142">
        <f t="shared" si="3"/>
        <v>6664019</v>
      </c>
    </row>
    <row r="30" spans="1:13" s="16" customFormat="1">
      <c r="A30" s="138">
        <v>2040</v>
      </c>
      <c r="B30" s="139">
        <v>30</v>
      </c>
      <c r="C30" s="140">
        <v>0.44444444444444442</v>
      </c>
      <c r="D30" s="141">
        <f>C30*$D$3</f>
        <v>8.8888888888888889E-3</v>
      </c>
      <c r="E30" s="139">
        <v>121302.92036252432</v>
      </c>
      <c r="F30" s="139">
        <v>301909.49068006052</v>
      </c>
      <c r="G30" s="139">
        <v>75477.372670015131</v>
      </c>
      <c r="H30" s="139">
        <v>314740.64403396304</v>
      </c>
      <c r="I30" s="25">
        <v>8718111.904118292</v>
      </c>
      <c r="J30" s="25">
        <v>4519315.3620613199</v>
      </c>
      <c r="K30" s="25">
        <f>SUM(I30:J30)</f>
        <v>13237427.266179612</v>
      </c>
      <c r="L30" s="142">
        <f>ROUND(K30/(1.07^(A30-2017)),0)</f>
        <v>2792394</v>
      </c>
      <c r="M30" s="142">
        <f>ROUND(K30/(1.03^(A30-2017)),0)</f>
        <v>6707295</v>
      </c>
    </row>
    <row r="31" spans="1:13" s="16" customFormat="1">
      <c r="A31" s="138">
        <v>2041</v>
      </c>
      <c r="B31" s="139">
        <v>30</v>
      </c>
      <c r="C31" s="140">
        <v>0.44444444444444442</v>
      </c>
      <c r="D31" s="141">
        <f t="shared" ref="D31:D37" si="5">C31*$D$3</f>
        <v>8.8888888888888889E-3</v>
      </c>
      <c r="E31" s="139">
        <v>125753.38950463916</v>
      </c>
      <c r="F31" s="139">
        <v>312986.21387821302</v>
      </c>
      <c r="G31" s="139">
        <v>78246.553469553255</v>
      </c>
      <c r="H31" s="139">
        <v>326288.12796803709</v>
      </c>
      <c r="I31" s="25">
        <v>9037969.7269211281</v>
      </c>
      <c r="J31" s="25">
        <v>4685124.0128524955</v>
      </c>
      <c r="K31" s="25">
        <f t="shared" si="1"/>
        <v>13723093.739773624</v>
      </c>
      <c r="L31" s="142">
        <f t="shared" ref="L31:L37" si="6">ROUND(K31/(1.07^(A31-2017)),0)</f>
        <v>2705462</v>
      </c>
      <c r="M31" s="142">
        <f t="shared" ref="M31:M37" si="7">ROUND(K31/(1.03^(A31-2017)),0)</f>
        <v>6750853</v>
      </c>
    </row>
    <row r="32" spans="1:13" s="16" customFormat="1" ht="15.75" thickBot="1">
      <c r="A32" s="138">
        <v>2042</v>
      </c>
      <c r="B32" s="139">
        <v>30</v>
      </c>
      <c r="C32" s="140">
        <v>0.44444444444444442</v>
      </c>
      <c r="D32" s="141">
        <f t="shared" si="5"/>
        <v>8.8888888888888889E-3</v>
      </c>
      <c r="E32" s="139">
        <v>130367.1414063588</v>
      </c>
      <c r="F32" s="139">
        <v>324469.32972249301</v>
      </c>
      <c r="G32" s="139">
        <v>81117.332430623253</v>
      </c>
      <c r="H32" s="139">
        <v>338259.27623569896</v>
      </c>
      <c r="I32" s="25">
        <v>9369562.7772518173</v>
      </c>
      <c r="J32" s="25">
        <v>4857015.9985018615</v>
      </c>
      <c r="K32" s="25">
        <f t="shared" si="1"/>
        <v>14226578.775753679</v>
      </c>
      <c r="L32" s="142">
        <f t="shared" si="6"/>
        <v>2621235</v>
      </c>
      <c r="M32" s="142">
        <f t="shared" si="7"/>
        <v>6794693</v>
      </c>
    </row>
    <row r="33" spans="1:13" s="16" customFormat="1" ht="15.75" hidden="1" thickBot="1">
      <c r="A33" s="99">
        <v>2043</v>
      </c>
      <c r="B33" s="131">
        <f>B32</f>
        <v>30</v>
      </c>
      <c r="C33" s="136">
        <v>0.44444444444444442</v>
      </c>
      <c r="D33" s="137">
        <f t="shared" si="5"/>
        <v>8.8888888888888889E-3</v>
      </c>
      <c r="E33" s="131">
        <v>135150.16673040506</v>
      </c>
      <c r="F33" s="131">
        <v>336373.74830678594</v>
      </c>
      <c r="G33" s="131">
        <v>84093.437076696486</v>
      </c>
      <c r="H33" s="131">
        <v>350669.6326098243</v>
      </c>
      <c r="I33" s="65">
        <v>9713321.607547462</v>
      </c>
      <c r="J33" s="65">
        <v>5035214.5097948229</v>
      </c>
      <c r="K33" s="65">
        <f t="shared" si="1"/>
        <v>14748536.117342286</v>
      </c>
      <c r="L33" s="101">
        <f t="shared" si="6"/>
        <v>2539631</v>
      </c>
      <c r="M33" s="101">
        <f t="shared" si="7"/>
        <v>6838818</v>
      </c>
    </row>
    <row r="34" spans="1:13" s="16" customFormat="1" ht="15.75" hidden="1" thickBot="1">
      <c r="A34" s="99">
        <v>2044</v>
      </c>
      <c r="B34" s="131">
        <f>B33</f>
        <v>30</v>
      </c>
      <c r="C34" s="136">
        <v>0.44444444444444442</v>
      </c>
      <c r="D34" s="137">
        <f t="shared" si="5"/>
        <v>8.8888888888888889E-3</v>
      </c>
      <c r="E34" s="131">
        <v>140108.67593024758</v>
      </c>
      <c r="F34" s="131">
        <v>348714.9267597273</v>
      </c>
      <c r="G34" s="131">
        <v>87178.731689931825</v>
      </c>
      <c r="H34" s="131">
        <v>363535.31114701566</v>
      </c>
      <c r="I34" s="65">
        <v>10069692.566734873</v>
      </c>
      <c r="J34" s="65">
        <v>5219950.9261382977</v>
      </c>
      <c r="K34" s="65">
        <f t="shared" si="1"/>
        <v>15289643.492873169</v>
      </c>
      <c r="L34" s="101">
        <f t="shared" si="6"/>
        <v>2460568</v>
      </c>
      <c r="M34" s="101">
        <f t="shared" si="7"/>
        <v>6883230</v>
      </c>
    </row>
    <row r="35" spans="1:13" s="16" customFormat="1" ht="15.75" hidden="1" thickBot="1">
      <c r="A35" s="99">
        <v>2045</v>
      </c>
      <c r="B35" s="131">
        <f>B34</f>
        <v>30</v>
      </c>
      <c r="C35" s="136">
        <v>0.44444444444444442</v>
      </c>
      <c r="D35" s="137">
        <f t="shared" si="5"/>
        <v>8.8888888888888889E-3</v>
      </c>
      <c r="E35" s="131">
        <v>145249.1073139818</v>
      </c>
      <c r="F35" s="131">
        <v>361508.88931479916</v>
      </c>
      <c r="G35" s="131">
        <v>90377.222328699791</v>
      </c>
      <c r="H35" s="131">
        <v>376873.01711067813</v>
      </c>
      <c r="I35" s="65">
        <v>10439138.379786231</v>
      </c>
      <c r="J35" s="65">
        <v>5411465.1159921261</v>
      </c>
      <c r="K35" s="65">
        <f t="shared" si="1"/>
        <v>15850603.495778356</v>
      </c>
      <c r="L35" s="101">
        <f t="shared" si="6"/>
        <v>2383966</v>
      </c>
      <c r="M35" s="101">
        <f t="shared" si="7"/>
        <v>6927930</v>
      </c>
    </row>
    <row r="36" spans="1:13" s="16" customFormat="1" ht="15.75" hidden="1" thickBot="1">
      <c r="A36" s="99">
        <v>2046</v>
      </c>
      <c r="B36" s="131">
        <f>B35</f>
        <v>30</v>
      </c>
      <c r="C36" s="136">
        <v>0.44444444444444442</v>
      </c>
      <c r="D36" s="137">
        <f t="shared" si="5"/>
        <v>8.8888888888888889E-3</v>
      </c>
      <c r="E36" s="131">
        <v>150578.13540406158</v>
      </c>
      <c r="F36" s="131">
        <v>374772.24811677547</v>
      </c>
      <c r="G36" s="131">
        <v>93693.062029193869</v>
      </c>
      <c r="H36" s="131">
        <v>390700.06866173842</v>
      </c>
      <c r="I36" s="65">
        <v>10822138.748537932</v>
      </c>
      <c r="J36" s="65">
        <v>5610005.7483229721</v>
      </c>
      <c r="K36" s="65">
        <f t="shared" si="1"/>
        <v>16432144.496860903</v>
      </c>
      <c r="L36" s="101">
        <f t="shared" si="6"/>
        <v>2309748</v>
      </c>
      <c r="M36" s="101">
        <f t="shared" si="7"/>
        <v>6972921</v>
      </c>
    </row>
    <row r="37" spans="1:13" s="16" customFormat="1" ht="15.75" hidden="1" thickBot="1">
      <c r="A37" s="99">
        <v>2047</v>
      </c>
      <c r="B37" s="131">
        <f>B36</f>
        <v>30</v>
      </c>
      <c r="C37" s="136">
        <v>0.44444444444444442</v>
      </c>
      <c r="D37" s="137">
        <f t="shared" si="5"/>
        <v>8.8888888888888889E-3</v>
      </c>
      <c r="E37" s="131">
        <v>156102.67960374104</v>
      </c>
      <c r="F37" s="131">
        <v>388522.22479153326</v>
      </c>
      <c r="G37" s="131">
        <v>97130.556197883314</v>
      </c>
      <c r="H37" s="131">
        <v>405034.41934517334</v>
      </c>
      <c r="I37" s="65">
        <v>11219190.97455287</v>
      </c>
      <c r="J37" s="65">
        <v>5815830.6154851271</v>
      </c>
      <c r="K37" s="65">
        <f t="shared" si="1"/>
        <v>17035021.590037998</v>
      </c>
      <c r="L37" s="101">
        <f t="shared" si="6"/>
        <v>2237842</v>
      </c>
      <c r="M37" s="101">
        <f t="shared" si="7"/>
        <v>7018203</v>
      </c>
    </row>
    <row r="38" spans="1:13" s="16" customFormat="1" ht="15.75" thickBot="1">
      <c r="A38" s="143" t="s">
        <v>350</v>
      </c>
      <c r="B38" s="144"/>
      <c r="C38" s="144"/>
      <c r="D38" s="144"/>
      <c r="E38" s="144"/>
      <c r="F38" s="145">
        <f t="shared" ref="F38:M38" si="8">SUM(F13:F32)</f>
        <v>4712369.3133118292</v>
      </c>
      <c r="G38" s="145">
        <f t="shared" si="8"/>
        <v>1059591.0967881917</v>
      </c>
      <c r="H38" s="145">
        <f t="shared" si="8"/>
        <v>5077361.7209678562</v>
      </c>
      <c r="I38" s="146">
        <f t="shared" si="8"/>
        <v>140639629.8036038</v>
      </c>
      <c r="J38" s="146">
        <f t="shared" si="8"/>
        <v>72905102.214368135</v>
      </c>
      <c r="K38" s="146">
        <f t="shared" si="8"/>
        <v>213544732.01797199</v>
      </c>
      <c r="L38" s="146">
        <f t="shared" si="8"/>
        <v>76120633</v>
      </c>
      <c r="M38" s="146">
        <f t="shared" si="8"/>
        <v>133480659</v>
      </c>
    </row>
    <row r="39" spans="1:13" s="16" customFormat="1">
      <c r="A39" s="16" t="s">
        <v>0</v>
      </c>
    </row>
    <row r="40" spans="1:13" s="16" customFormat="1">
      <c r="E40" s="147"/>
    </row>
    <row r="41" spans="1:13" s="16" customFormat="1">
      <c r="E41" s="147"/>
    </row>
    <row r="42" spans="1:13" s="16" customFormat="1">
      <c r="E42" s="147"/>
    </row>
    <row r="43" spans="1:13" s="16" customFormat="1"/>
    <row r="44" spans="1:13" s="16" customFormat="1"/>
    <row r="45" spans="1:13" s="16" customFormat="1">
      <c r="E45" s="147"/>
    </row>
    <row r="46" spans="1:13" s="16" customFormat="1">
      <c r="E46" s="147"/>
    </row>
    <row r="47" spans="1:13" s="16" customFormat="1">
      <c r="E47" s="147"/>
    </row>
    <row r="48" spans="1:13" s="16" customFormat="1">
      <c r="E48" s="147"/>
    </row>
    <row r="49" spans="5:5" s="16" customFormat="1">
      <c r="E49" s="147"/>
    </row>
    <row r="50" spans="5:5" s="16" customFormat="1">
      <c r="E50" s="147"/>
    </row>
    <row r="51" spans="5:5" s="16" customFormat="1">
      <c r="E51" s="147"/>
    </row>
    <row r="52" spans="5:5" s="16" customFormat="1">
      <c r="E52" s="147"/>
    </row>
    <row r="53" spans="5:5" s="16" customFormat="1">
      <c r="E53" s="147"/>
    </row>
    <row r="54" spans="5:5" s="16" customFormat="1">
      <c r="E54" s="147"/>
    </row>
    <row r="55" spans="5:5" s="16" customFormat="1">
      <c r="E55" s="147"/>
    </row>
    <row r="56" spans="5:5" s="16" customFormat="1">
      <c r="E56" s="147"/>
    </row>
    <row r="57" spans="5:5" s="16" customFormat="1">
      <c r="E57" s="147"/>
    </row>
    <row r="58" spans="5:5" s="16" customFormat="1">
      <c r="E58" s="147"/>
    </row>
    <row r="59" spans="5:5" s="16" customFormat="1">
      <c r="E59" s="147"/>
    </row>
    <row r="60" spans="5:5" s="16" customFormat="1">
      <c r="E60" s="147"/>
    </row>
    <row r="61" spans="5:5" s="16" customFormat="1">
      <c r="E61" s="147"/>
    </row>
    <row r="62" spans="5:5" s="16" customFormat="1">
      <c r="E62" s="147"/>
    </row>
    <row r="63" spans="5:5" s="16" customFormat="1">
      <c r="E63" s="147"/>
    </row>
    <row r="64" spans="5:5" s="16" customFormat="1">
      <c r="E64" s="147"/>
    </row>
    <row r="65" spans="5:5" s="16" customFormat="1">
      <c r="E65" s="147"/>
    </row>
    <row r="66" spans="5:5" s="16" customFormat="1">
      <c r="E66" s="147"/>
    </row>
    <row r="67" spans="5:5" s="16" customFormat="1">
      <c r="E67" s="147"/>
    </row>
    <row r="68" spans="5:5" s="16" customFormat="1">
      <c r="E68" s="147"/>
    </row>
    <row r="69" spans="5:5" s="16" customFormat="1">
      <c r="E69" s="147"/>
    </row>
    <row r="70" spans="5:5" s="16" customFormat="1">
      <c r="E70" s="147"/>
    </row>
    <row r="71" spans="5:5" s="16" customFormat="1">
      <c r="E71" s="147"/>
    </row>
    <row r="72" spans="5:5" s="16" customFormat="1">
      <c r="E72" s="147"/>
    </row>
    <row r="73" spans="5:5" s="16" customFormat="1">
      <c r="E73" s="147"/>
    </row>
    <row r="74" spans="5:5" s="16" customFormat="1">
      <c r="E74" s="147"/>
    </row>
    <row r="75" spans="5:5" s="16" customFormat="1">
      <c r="E75" s="147"/>
    </row>
    <row r="76" spans="5:5" s="16" customFormat="1">
      <c r="E76" s="147"/>
    </row>
    <row r="77" spans="5:5" s="16" customFormat="1">
      <c r="E77" s="147"/>
    </row>
    <row r="78" spans="5:5" s="16" customFormat="1">
      <c r="E78" s="147"/>
    </row>
    <row r="79" spans="5:5" s="16" customFormat="1">
      <c r="E79" s="147"/>
    </row>
    <row r="80" spans="5:5" s="16" customFormat="1">
      <c r="E80" s="147"/>
    </row>
    <row r="81" spans="5:5" s="16" customFormat="1">
      <c r="E81" s="147"/>
    </row>
    <row r="82" spans="5:5" s="16" customFormat="1">
      <c r="E82" s="147"/>
    </row>
    <row r="83" spans="5:5" s="16" customFormat="1">
      <c r="E83" s="147"/>
    </row>
    <row r="84" spans="5:5" s="16" customFormat="1">
      <c r="E84" s="147"/>
    </row>
    <row r="85" spans="5:5" s="16" customFormat="1">
      <c r="E85" s="147"/>
    </row>
    <row r="86" spans="5:5" s="16" customFormat="1">
      <c r="E86" s="147"/>
    </row>
    <row r="87" spans="5:5" s="16" customFormat="1">
      <c r="E87" s="147"/>
    </row>
    <row r="88" spans="5:5" s="16" customFormat="1">
      <c r="E88" s="147"/>
    </row>
    <row r="89" spans="5:5" s="16" customFormat="1">
      <c r="E89" s="147"/>
    </row>
    <row r="90" spans="5:5" s="16" customFormat="1">
      <c r="E90" s="147"/>
    </row>
    <row r="91" spans="5:5" s="16" customFormat="1">
      <c r="E91" s="147"/>
    </row>
    <row r="92" spans="5:5" s="16" customFormat="1">
      <c r="E92" s="147"/>
    </row>
    <row r="93" spans="5:5" s="16" customFormat="1">
      <c r="E93" s="147"/>
    </row>
    <row r="94" spans="5:5" s="16" customFormat="1">
      <c r="E94" s="147"/>
    </row>
    <row r="95" spans="5:5" s="16" customFormat="1">
      <c r="E95" s="147"/>
    </row>
    <row r="96" spans="5:5" s="16" customFormat="1">
      <c r="E96" s="147"/>
    </row>
    <row r="97" spans="5:5" s="16" customFormat="1">
      <c r="E97" s="147"/>
    </row>
    <row r="98" spans="5:5" s="16" customFormat="1">
      <c r="E98" s="147"/>
    </row>
    <row r="99" spans="5:5" s="16" customFormat="1">
      <c r="E99" s="147"/>
    </row>
    <row r="100" spans="5:5" s="16" customFormat="1">
      <c r="E100" s="147"/>
    </row>
    <row r="101" spans="5:5" s="16" customFormat="1">
      <c r="E101" s="147"/>
    </row>
    <row r="102" spans="5:5" s="16" customFormat="1">
      <c r="E102" s="147"/>
    </row>
    <row r="103" spans="5:5" s="16" customFormat="1">
      <c r="E103" s="147"/>
    </row>
    <row r="104" spans="5:5" s="16" customFormat="1">
      <c r="E104" s="147"/>
    </row>
    <row r="105" spans="5:5" s="16" customFormat="1">
      <c r="E105" s="147"/>
    </row>
    <row r="106" spans="5:5" s="16" customFormat="1">
      <c r="E106" s="147"/>
    </row>
    <row r="107" spans="5:5" s="16" customFormat="1">
      <c r="E107" s="147"/>
    </row>
    <row r="108" spans="5:5" s="16" customFormat="1">
      <c r="E108" s="147"/>
    </row>
    <row r="109" spans="5:5" s="16" customFormat="1">
      <c r="E109" s="147"/>
    </row>
    <row r="110" spans="5:5" s="16" customFormat="1">
      <c r="E110" s="147"/>
    </row>
    <row r="111" spans="5:5" s="16" customFormat="1">
      <c r="E111" s="147"/>
    </row>
    <row r="112" spans="5:5" s="16" customFormat="1">
      <c r="E112" s="147"/>
    </row>
    <row r="113" spans="5:5" s="16" customFormat="1">
      <c r="E113" s="147"/>
    </row>
    <row r="114" spans="5:5" s="16" customFormat="1">
      <c r="E114" s="147"/>
    </row>
    <row r="115" spans="5:5" s="16" customFormat="1">
      <c r="E115" s="147"/>
    </row>
    <row r="116" spans="5:5" s="16" customFormat="1">
      <c r="E116" s="147"/>
    </row>
    <row r="117" spans="5:5" s="16" customFormat="1">
      <c r="E117" s="147"/>
    </row>
    <row r="118" spans="5:5" s="16" customFormat="1">
      <c r="E118" s="147"/>
    </row>
    <row r="119" spans="5:5" s="16" customFormat="1">
      <c r="E119" s="147"/>
    </row>
    <row r="120" spans="5:5" s="16" customFormat="1">
      <c r="E120" s="147"/>
    </row>
    <row r="121" spans="5:5" s="16" customFormat="1">
      <c r="E121" s="147"/>
    </row>
    <row r="122" spans="5:5" s="16" customFormat="1">
      <c r="E122" s="147"/>
    </row>
    <row r="123" spans="5:5" s="16" customFormat="1">
      <c r="E123" s="147"/>
    </row>
    <row r="124" spans="5:5" s="16" customFormat="1">
      <c r="E124" s="147"/>
    </row>
    <row r="125" spans="5:5" s="16" customFormat="1">
      <c r="E125" s="147"/>
    </row>
    <row r="126" spans="5:5" s="16" customFormat="1">
      <c r="E126" s="147"/>
    </row>
    <row r="127" spans="5:5" s="16" customFormat="1">
      <c r="E127" s="147"/>
    </row>
    <row r="128" spans="5:5" s="16" customFormat="1">
      <c r="E128" s="147"/>
    </row>
    <row r="129" spans="5:5" s="16" customFormat="1">
      <c r="E129" s="147"/>
    </row>
    <row r="130" spans="5:5" s="16" customFormat="1">
      <c r="E130" s="147"/>
    </row>
    <row r="131" spans="5:5" s="16" customFormat="1">
      <c r="E131" s="147"/>
    </row>
    <row r="132" spans="5:5" s="16" customFormat="1">
      <c r="E132" s="147"/>
    </row>
    <row r="133" spans="5:5" s="16" customFormat="1">
      <c r="E133" s="147"/>
    </row>
    <row r="134" spans="5:5" s="16" customFormat="1">
      <c r="E134" s="147"/>
    </row>
    <row r="135" spans="5:5" s="16" customFormat="1">
      <c r="E135" s="147"/>
    </row>
    <row r="136" spans="5:5" s="16" customFormat="1">
      <c r="E136" s="147"/>
    </row>
    <row r="137" spans="5:5" s="16" customFormat="1">
      <c r="E137" s="147"/>
    </row>
    <row r="138" spans="5:5" s="16" customFormat="1">
      <c r="E138" s="147"/>
    </row>
    <row r="139" spans="5:5" s="16" customFormat="1">
      <c r="E139" s="147"/>
    </row>
    <row r="140" spans="5:5" s="16" customFormat="1">
      <c r="E140" s="147"/>
    </row>
    <row r="141" spans="5:5" s="16" customFormat="1">
      <c r="E141" s="147"/>
    </row>
    <row r="142" spans="5:5" s="16" customFormat="1">
      <c r="E142" s="147"/>
    </row>
    <row r="143" spans="5:5" s="16" customFormat="1">
      <c r="E143" s="147"/>
    </row>
    <row r="144" spans="5:5" s="16" customFormat="1">
      <c r="E144" s="147"/>
    </row>
    <row r="145" spans="5:5" s="16" customFormat="1">
      <c r="E145" s="147"/>
    </row>
    <row r="146" spans="5:5" s="16" customFormat="1">
      <c r="E146" s="147"/>
    </row>
    <row r="147" spans="5:5" s="16" customFormat="1">
      <c r="E147" s="147"/>
    </row>
    <row r="148" spans="5:5" s="16" customFormat="1">
      <c r="E148" s="147"/>
    </row>
    <row r="149" spans="5:5" s="16" customFormat="1">
      <c r="E149" s="147"/>
    </row>
    <row r="150" spans="5:5" s="16" customFormat="1">
      <c r="E150" s="147"/>
    </row>
    <row r="151" spans="5:5" s="16" customFormat="1">
      <c r="E151" s="147"/>
    </row>
    <row r="152" spans="5:5" s="16" customFormat="1">
      <c r="E152" s="147"/>
    </row>
    <row r="153" spans="5:5" s="16" customFormat="1">
      <c r="E153" s="147"/>
    </row>
    <row r="154" spans="5:5" s="16" customFormat="1">
      <c r="E154" s="147"/>
    </row>
    <row r="155" spans="5:5" s="16" customFormat="1">
      <c r="E155" s="147"/>
    </row>
    <row r="156" spans="5:5" s="16" customFormat="1">
      <c r="E156" s="147"/>
    </row>
    <row r="157" spans="5:5" s="16" customFormat="1">
      <c r="E157" s="147"/>
    </row>
    <row r="158" spans="5:5" s="16" customFormat="1">
      <c r="E158" s="147"/>
    </row>
    <row r="159" spans="5:5" s="16" customFormat="1">
      <c r="E159" s="147"/>
    </row>
    <row r="160" spans="5:5" s="16" customFormat="1">
      <c r="E160" s="147"/>
    </row>
    <row r="161" spans="5:5" s="16" customFormat="1">
      <c r="E161" s="147"/>
    </row>
    <row r="162" spans="5:5" s="16" customFormat="1">
      <c r="E162" s="147"/>
    </row>
    <row r="163" spans="5:5" s="16" customFormat="1">
      <c r="E163" s="147"/>
    </row>
    <row r="164" spans="5:5" s="16" customFormat="1">
      <c r="E164" s="147"/>
    </row>
    <row r="165" spans="5:5" s="16" customFormat="1">
      <c r="E165" s="147"/>
    </row>
    <row r="166" spans="5:5" s="16" customFormat="1">
      <c r="E166" s="147"/>
    </row>
    <row r="167" spans="5:5" s="16" customFormat="1">
      <c r="E167" s="147"/>
    </row>
    <row r="168" spans="5:5" s="16" customFormat="1">
      <c r="E168" s="147"/>
    </row>
    <row r="169" spans="5:5" s="16" customFormat="1">
      <c r="E169" s="147"/>
    </row>
    <row r="170" spans="5:5" s="16" customFormat="1">
      <c r="E170" s="147"/>
    </row>
    <row r="171" spans="5:5" s="16" customFormat="1">
      <c r="E171" s="147"/>
    </row>
    <row r="172" spans="5:5" s="16" customFormat="1">
      <c r="E172" s="147"/>
    </row>
    <row r="173" spans="5:5" s="16" customFormat="1">
      <c r="E173" s="147"/>
    </row>
    <row r="174" spans="5:5" s="16" customFormat="1">
      <c r="E174" s="147"/>
    </row>
    <row r="175" spans="5:5" s="16" customFormat="1">
      <c r="E175" s="147"/>
    </row>
    <row r="176" spans="5:5" s="16" customFormat="1">
      <c r="E176" s="147"/>
    </row>
    <row r="177" spans="5:5" s="16" customFormat="1">
      <c r="E177" s="147"/>
    </row>
    <row r="178" spans="5:5" s="16" customFormat="1">
      <c r="E178" s="147"/>
    </row>
    <row r="179" spans="5:5" s="16" customFormat="1">
      <c r="E179" s="147"/>
    </row>
    <row r="180" spans="5:5" s="16" customFormat="1">
      <c r="E180" s="147"/>
    </row>
  </sheetData>
  <sheetProtection algorithmName="SHA-512" hashValue="0IIFGU7gqFM9hABxlCRGt8YMg0/ZRL4Klic+VPyphJRNDrrY5uODD2nSsiTOBVuT9hxeYTogJkar4LIEEukaUg==" saltValue="ECOSWrpNyhU3kquvE92e7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8017-DE33-4925-B4BA-5B2DD7C56F89}">
  <sheetPr>
    <tabColor rgb="FF00B050"/>
  </sheetPr>
  <dimension ref="A1:BB58"/>
  <sheetViews>
    <sheetView workbookViewId="0">
      <selection activeCell="L57" sqref="L57"/>
    </sheetView>
  </sheetViews>
  <sheetFormatPr defaultColWidth="9.140625" defaultRowHeight="15"/>
  <cols>
    <col min="1" max="1" width="39.7109375" customWidth="1"/>
    <col min="2" max="2" width="33.85546875" bestFit="1" customWidth="1"/>
    <col min="3" max="3" width="19.140625" customWidth="1"/>
    <col min="4" max="4" width="14.7109375" customWidth="1"/>
    <col min="5" max="5" width="15.140625" customWidth="1"/>
    <col min="6" max="6" width="14.85546875" customWidth="1"/>
    <col min="7" max="10" width="11.28515625" bestFit="1" customWidth="1"/>
    <col min="11" max="11" width="14.7109375" customWidth="1"/>
    <col min="12" max="13" width="12.28515625" bestFit="1" customWidth="1"/>
    <col min="14" max="14" width="11.28515625" bestFit="1" customWidth="1"/>
    <col min="15" max="15" width="15.140625" customWidth="1"/>
    <col min="16" max="16" width="12.28515625" bestFit="1" customWidth="1"/>
    <col min="17" max="17" width="13.85546875" bestFit="1" customWidth="1"/>
    <col min="18" max="18" width="12.7109375" bestFit="1" customWidth="1"/>
    <col min="19" max="19" width="14.140625" bestFit="1" customWidth="1"/>
    <col min="20" max="20" width="12.7109375" bestFit="1" customWidth="1"/>
    <col min="21" max="21" width="14.140625" bestFit="1" customWidth="1"/>
    <col min="22" max="22" width="12.7109375" bestFit="1" customWidth="1"/>
    <col min="24" max="24" width="10.140625" bestFit="1" customWidth="1"/>
  </cols>
  <sheetData>
    <row r="1" spans="1:15" s="132" customFormat="1" ht="21">
      <c r="A1" s="189" t="s">
        <v>450</v>
      </c>
    </row>
    <row r="2" spans="1:15" s="190" customFormat="1">
      <c r="A2" t="s">
        <v>459</v>
      </c>
    </row>
    <row r="3" spans="1:15">
      <c r="A3" s="126" t="s">
        <v>460</v>
      </c>
    </row>
    <row r="5" spans="1:15">
      <c r="A5" s="48" t="s">
        <v>461</v>
      </c>
    </row>
    <row r="6" spans="1:15">
      <c r="A6" t="s">
        <v>462</v>
      </c>
      <c r="B6" t="s">
        <v>463</v>
      </c>
      <c r="C6" t="s">
        <v>464</v>
      </c>
      <c r="D6" s="191" t="s">
        <v>465</v>
      </c>
      <c r="E6" s="192"/>
      <c r="F6" s="192"/>
      <c r="G6" s="192"/>
    </row>
    <row r="7" spans="1:15">
      <c r="A7" t="s">
        <v>466</v>
      </c>
      <c r="B7" s="193">
        <v>10000</v>
      </c>
      <c r="C7" s="194">
        <v>10617.376618502532</v>
      </c>
      <c r="D7" s="195" t="s">
        <v>467</v>
      </c>
      <c r="E7" s="192"/>
      <c r="F7" s="192"/>
      <c r="G7" s="192"/>
    </row>
    <row r="8" spans="1:15">
      <c r="A8" t="s">
        <v>468</v>
      </c>
      <c r="B8" s="193">
        <v>2000</v>
      </c>
      <c r="C8" s="194">
        <v>2123.4753237005061</v>
      </c>
      <c r="D8" s="195" t="s">
        <v>469</v>
      </c>
      <c r="E8" s="192"/>
      <c r="F8" s="192"/>
      <c r="G8" s="192"/>
      <c r="N8" s="27"/>
      <c r="O8" s="27"/>
    </row>
    <row r="9" spans="1:15">
      <c r="A9" t="s">
        <v>470</v>
      </c>
      <c r="B9" s="127">
        <v>250000000</v>
      </c>
      <c r="D9" s="195" t="s">
        <v>471</v>
      </c>
      <c r="E9" s="192"/>
      <c r="F9" s="192"/>
      <c r="G9" s="192"/>
    </row>
    <row r="10" spans="1:15">
      <c r="B10" s="127"/>
      <c r="D10" s="195" t="s">
        <v>472</v>
      </c>
      <c r="E10" s="192"/>
      <c r="F10" s="195"/>
      <c r="G10" s="192"/>
      <c r="N10" s="27"/>
      <c r="O10" s="27"/>
    </row>
    <row r="11" spans="1:15">
      <c r="D11" s="192"/>
      <c r="E11" s="192"/>
      <c r="F11" s="192"/>
      <c r="G11" s="192"/>
    </row>
    <row r="12" spans="1:15">
      <c r="A12" t="s">
        <v>473</v>
      </c>
      <c r="B12" s="193">
        <f>(B9*B7*0.45)+(0.45*B8*B9)</f>
        <v>1350000000000</v>
      </c>
      <c r="C12" s="194">
        <v>1433345843497.8418</v>
      </c>
      <c r="D12" s="195" t="s">
        <v>474</v>
      </c>
      <c r="E12" s="192"/>
      <c r="F12" s="191"/>
      <c r="G12" s="192"/>
    </row>
    <row r="13" spans="1:15">
      <c r="A13" t="s">
        <v>475</v>
      </c>
      <c r="B13" s="194">
        <f>B12/10^6</f>
        <v>1350000</v>
      </c>
      <c r="C13" s="194">
        <v>1433345.8434978419</v>
      </c>
      <c r="D13" s="192"/>
      <c r="E13" s="192"/>
      <c r="F13" s="192"/>
      <c r="G13" s="192"/>
    </row>
    <row r="14" spans="1:15">
      <c r="B14" t="s">
        <v>476</v>
      </c>
      <c r="D14" s="192"/>
      <c r="E14" s="192"/>
      <c r="F14" s="192"/>
      <c r="G14" s="192"/>
    </row>
    <row r="15" spans="1:15">
      <c r="D15" s="192"/>
      <c r="E15" s="192"/>
      <c r="F15" s="192"/>
      <c r="G15" s="192"/>
    </row>
    <row r="16" spans="1:15">
      <c r="A16" t="s">
        <v>300</v>
      </c>
      <c r="B16" s="196"/>
      <c r="C16" s="197"/>
      <c r="D16" s="191" t="s">
        <v>477</v>
      </c>
      <c r="E16" s="198"/>
      <c r="F16" s="192"/>
      <c r="G16" s="192"/>
    </row>
    <row r="17" spans="1:21">
      <c r="A17" s="112" t="s">
        <v>478</v>
      </c>
      <c r="B17" s="199">
        <f>B37/B9</f>
        <v>3.1415781723114004E-4</v>
      </c>
      <c r="C17" s="200"/>
      <c r="D17" s="195" t="s">
        <v>479</v>
      </c>
      <c r="E17" s="192"/>
      <c r="G17" s="192"/>
    </row>
    <row r="18" spans="1:21">
      <c r="A18" s="112"/>
      <c r="B18" s="201" t="s">
        <v>480</v>
      </c>
      <c r="C18" s="112" t="s">
        <v>481</v>
      </c>
      <c r="D18" s="195" t="s">
        <v>482</v>
      </c>
      <c r="E18" s="192"/>
      <c r="G18" s="192"/>
    </row>
    <row r="19" spans="1:21">
      <c r="A19" s="112" t="s">
        <v>483</v>
      </c>
      <c r="B19" s="202">
        <f>1300000000/1000</f>
        <v>1300000</v>
      </c>
      <c r="C19" s="203">
        <v>1380258.9604053292</v>
      </c>
      <c r="D19" s="195" t="s">
        <v>484</v>
      </c>
      <c r="E19" s="192"/>
      <c r="G19" s="192"/>
    </row>
    <row r="20" spans="1:21">
      <c r="A20" s="112" t="s">
        <v>485</v>
      </c>
      <c r="B20" s="204">
        <f>B19*$B$17</f>
        <v>408.40516240048203</v>
      </c>
      <c r="C20" s="203">
        <v>433.61914221466077</v>
      </c>
      <c r="D20" s="195" t="s">
        <v>486</v>
      </c>
      <c r="E20" s="192"/>
      <c r="G20" s="192"/>
    </row>
    <row r="21" spans="1:21">
      <c r="F21" s="205"/>
    </row>
    <row r="22" spans="1:21" ht="15.75" thickBot="1">
      <c r="A22" t="s">
        <v>421</v>
      </c>
      <c r="B22" s="225" t="s">
        <v>443</v>
      </c>
      <c r="C22" s="225"/>
      <c r="D22" s="225"/>
      <c r="E22" s="225"/>
      <c r="F22" s="225"/>
      <c r="H22" s="225" t="s">
        <v>300</v>
      </c>
      <c r="I22" s="225"/>
      <c r="J22" s="225"/>
      <c r="K22" s="225"/>
      <c r="L22" s="225"/>
    </row>
    <row r="23" spans="1:21" ht="30">
      <c r="A23" s="90" t="s">
        <v>487</v>
      </c>
      <c r="B23" s="133" t="s">
        <v>487</v>
      </c>
      <c r="C23" s="133" t="s">
        <v>488</v>
      </c>
      <c r="D23" s="133" t="s">
        <v>489</v>
      </c>
      <c r="E23" s="206" t="s">
        <v>490</v>
      </c>
      <c r="F23" s="206" t="s">
        <v>491</v>
      </c>
      <c r="H23" s="133" t="s">
        <v>492</v>
      </c>
      <c r="I23" s="133" t="s">
        <v>493</v>
      </c>
      <c r="J23" s="133" t="s">
        <v>494</v>
      </c>
      <c r="K23" s="133" t="s">
        <v>495</v>
      </c>
      <c r="L23" s="206" t="s">
        <v>490</v>
      </c>
      <c r="M23" s="206" t="s">
        <v>491</v>
      </c>
      <c r="O23" s="133" t="s">
        <v>496</v>
      </c>
      <c r="P23" s="206" t="s">
        <v>490</v>
      </c>
      <c r="Q23" s="206" t="s">
        <v>491</v>
      </c>
      <c r="S23" s="133" t="s">
        <v>497</v>
      </c>
      <c r="T23" s="206" t="s">
        <v>490</v>
      </c>
      <c r="U23" s="206" t="s">
        <v>491</v>
      </c>
    </row>
    <row r="24" spans="1:21">
      <c r="A24" s="207">
        <v>2015</v>
      </c>
      <c r="B24" s="139"/>
      <c r="C24" s="208"/>
      <c r="D24" s="209">
        <f>C24*B24*$C$7</f>
        <v>0</v>
      </c>
      <c r="E24" s="25">
        <f>ROUND(D24/(1.07^(A24-2017)),0)</f>
        <v>0</v>
      </c>
      <c r="F24" s="25">
        <f>ROUND(D24/(1.03^(A24-2017)),0)</f>
        <v>0</v>
      </c>
      <c r="G24" s="16"/>
      <c r="H24" s="139"/>
      <c r="I24" s="208"/>
      <c r="J24" s="208"/>
      <c r="K24" s="209">
        <f t="shared" ref="K24:K36" si="0">I24*H24*$C$7</f>
        <v>0</v>
      </c>
      <c r="L24" s="210">
        <f t="shared" ref="L24:L36" si="1">ROUND(K24/(1.07^(F24-2017)),0)</f>
        <v>0</v>
      </c>
      <c r="M24" s="210">
        <f t="shared" ref="M24:M36" si="2">ROUND(K24/(1.03^(F24-2017)),0)</f>
        <v>0</v>
      </c>
      <c r="O24" s="209">
        <f t="shared" ref="O24:O36" si="3">I24*H24*$C$7</f>
        <v>0</v>
      </c>
      <c r="P24" s="210">
        <f t="shared" ref="P24:P36" si="4">ROUND(O24/(1.07^(F24-2017)),0)</f>
        <v>0</v>
      </c>
      <c r="Q24" s="210">
        <f t="shared" ref="Q24:Q36" si="5">ROUND(O24/(1.03^(F24-2017)),0)</f>
        <v>0</v>
      </c>
      <c r="S24" s="209">
        <f t="shared" ref="S24:S36" si="6">M24*L24*$C$7</f>
        <v>0</v>
      </c>
      <c r="T24" s="210">
        <f t="shared" ref="T24:T36" si="7">ROUND(S24/(1.07^(J24-2017)),0)</f>
        <v>0</v>
      </c>
      <c r="U24" s="210">
        <f t="shared" ref="U24:U36" si="8">ROUND(S24/(1.03^(J24-2017)),0)</f>
        <v>0</v>
      </c>
    </row>
    <row r="25" spans="1:21">
      <c r="A25" s="207">
        <v>2016</v>
      </c>
      <c r="B25" s="139">
        <v>52400</v>
      </c>
      <c r="C25" s="139"/>
      <c r="D25" s="209">
        <f t="shared" ref="D25:D37" si="9">C25*B25*$C$7</f>
        <v>0</v>
      </c>
      <c r="E25" s="25">
        <f t="shared" ref="E25:E56" si="10">ROUND(D25/(1.07^(A25-2017)),0)</f>
        <v>0</v>
      </c>
      <c r="F25" s="25">
        <f t="shared" ref="F25:F56" si="11">ROUND(D25/(1.03^(A25-2017)),0)</f>
        <v>0</v>
      </c>
      <c r="G25" s="16"/>
      <c r="H25" s="139"/>
      <c r="I25" s="139"/>
      <c r="J25" s="139"/>
      <c r="K25" s="209">
        <f t="shared" si="0"/>
        <v>0</v>
      </c>
      <c r="L25" s="210">
        <f t="shared" si="1"/>
        <v>0</v>
      </c>
      <c r="M25" s="210">
        <f t="shared" si="2"/>
        <v>0</v>
      </c>
      <c r="O25" s="209">
        <f t="shared" si="3"/>
        <v>0</v>
      </c>
      <c r="P25" s="210">
        <f t="shared" si="4"/>
        <v>0</v>
      </c>
      <c r="Q25" s="210">
        <f t="shared" si="5"/>
        <v>0</v>
      </c>
      <c r="S25" s="209">
        <f t="shared" si="6"/>
        <v>0</v>
      </c>
      <c r="T25" s="210">
        <f t="shared" si="7"/>
        <v>0</v>
      </c>
      <c r="U25" s="210">
        <f t="shared" si="8"/>
        <v>0</v>
      </c>
    </row>
    <row r="26" spans="1:21">
      <c r="A26" s="207">
        <v>2017</v>
      </c>
      <c r="B26" s="139">
        <v>54197.302282115175</v>
      </c>
      <c r="C26" s="139"/>
      <c r="D26" s="209">
        <f t="shared" si="9"/>
        <v>0</v>
      </c>
      <c r="E26" s="25">
        <f t="shared" si="10"/>
        <v>0</v>
      </c>
      <c r="F26" s="25">
        <f t="shared" si="11"/>
        <v>0</v>
      </c>
      <c r="G26" s="16"/>
      <c r="H26" s="139"/>
      <c r="I26" s="139"/>
      <c r="J26" s="139"/>
      <c r="K26" s="209">
        <f t="shared" si="0"/>
        <v>0</v>
      </c>
      <c r="L26" s="210">
        <f t="shared" si="1"/>
        <v>0</v>
      </c>
      <c r="M26" s="210">
        <f t="shared" si="2"/>
        <v>0</v>
      </c>
      <c r="O26" s="209">
        <f t="shared" si="3"/>
        <v>0</v>
      </c>
      <c r="P26" s="210">
        <f t="shared" si="4"/>
        <v>0</v>
      </c>
      <c r="Q26" s="210">
        <f t="shared" si="5"/>
        <v>0</v>
      </c>
      <c r="S26" s="209">
        <f t="shared" si="6"/>
        <v>0</v>
      </c>
      <c r="T26" s="210">
        <f t="shared" si="7"/>
        <v>0</v>
      </c>
      <c r="U26" s="210">
        <f t="shared" si="8"/>
        <v>0</v>
      </c>
    </row>
    <row r="27" spans="1:21">
      <c r="A27" s="207">
        <v>2018</v>
      </c>
      <c r="B27" s="139">
        <v>56056.251424789436</v>
      </c>
      <c r="C27" s="139"/>
      <c r="D27" s="209">
        <f t="shared" si="9"/>
        <v>0</v>
      </c>
      <c r="E27" s="25">
        <f t="shared" si="10"/>
        <v>0</v>
      </c>
      <c r="F27" s="25">
        <f t="shared" si="11"/>
        <v>0</v>
      </c>
      <c r="G27" s="16"/>
      <c r="H27" s="139"/>
      <c r="I27" s="139"/>
      <c r="J27" s="139"/>
      <c r="K27" s="209">
        <f t="shared" si="0"/>
        <v>0</v>
      </c>
      <c r="L27" s="210">
        <f t="shared" si="1"/>
        <v>0</v>
      </c>
      <c r="M27" s="210">
        <f t="shared" si="2"/>
        <v>0</v>
      </c>
      <c r="O27" s="209">
        <f t="shared" si="3"/>
        <v>0</v>
      </c>
      <c r="P27" s="210">
        <f t="shared" si="4"/>
        <v>0</v>
      </c>
      <c r="Q27" s="210">
        <f t="shared" si="5"/>
        <v>0</v>
      </c>
      <c r="S27" s="209">
        <f t="shared" si="6"/>
        <v>0</v>
      </c>
      <c r="T27" s="210">
        <f t="shared" si="7"/>
        <v>0</v>
      </c>
      <c r="U27" s="210">
        <f t="shared" si="8"/>
        <v>0</v>
      </c>
    </row>
    <row r="28" spans="1:21">
      <c r="A28" s="207">
        <v>2019</v>
      </c>
      <c r="B28" s="139">
        <v>57978.961894495464</v>
      </c>
      <c r="C28" s="139"/>
      <c r="D28" s="209">
        <f t="shared" si="9"/>
        <v>0</v>
      </c>
      <c r="E28" s="25">
        <f t="shared" si="10"/>
        <v>0</v>
      </c>
      <c r="F28" s="25">
        <f t="shared" si="11"/>
        <v>0</v>
      </c>
      <c r="G28" s="16"/>
      <c r="H28" s="139"/>
      <c r="I28" s="139"/>
      <c r="J28" s="139"/>
      <c r="K28" s="209">
        <f t="shared" si="0"/>
        <v>0</v>
      </c>
      <c r="L28" s="210">
        <f t="shared" si="1"/>
        <v>0</v>
      </c>
      <c r="M28" s="210">
        <f t="shared" si="2"/>
        <v>0</v>
      </c>
      <c r="O28" s="209">
        <f t="shared" si="3"/>
        <v>0</v>
      </c>
      <c r="P28" s="210">
        <f t="shared" si="4"/>
        <v>0</v>
      </c>
      <c r="Q28" s="210">
        <f t="shared" si="5"/>
        <v>0</v>
      </c>
      <c r="S28" s="209">
        <f t="shared" si="6"/>
        <v>0</v>
      </c>
      <c r="T28" s="210">
        <f t="shared" si="7"/>
        <v>0</v>
      </c>
      <c r="U28" s="210">
        <f t="shared" si="8"/>
        <v>0</v>
      </c>
    </row>
    <row r="29" spans="1:21">
      <c r="A29" s="207">
        <v>2020</v>
      </c>
      <c r="B29" s="139">
        <v>59967.620683190988</v>
      </c>
      <c r="C29" s="139"/>
      <c r="D29" s="209">
        <f t="shared" si="9"/>
        <v>0</v>
      </c>
      <c r="E29" s="25">
        <f t="shared" si="10"/>
        <v>0</v>
      </c>
      <c r="F29" s="25">
        <f t="shared" si="11"/>
        <v>0</v>
      </c>
      <c r="G29" s="16"/>
      <c r="H29" s="139"/>
      <c r="I29" s="139"/>
      <c r="J29" s="139"/>
      <c r="K29" s="209">
        <f t="shared" si="0"/>
        <v>0</v>
      </c>
      <c r="L29" s="210">
        <f t="shared" si="1"/>
        <v>0</v>
      </c>
      <c r="M29" s="210">
        <f t="shared" si="2"/>
        <v>0</v>
      </c>
      <c r="O29" s="209">
        <f t="shared" si="3"/>
        <v>0</v>
      </c>
      <c r="P29" s="210">
        <f t="shared" si="4"/>
        <v>0</v>
      </c>
      <c r="Q29" s="210">
        <f t="shared" si="5"/>
        <v>0</v>
      </c>
      <c r="S29" s="209">
        <f t="shared" si="6"/>
        <v>0</v>
      </c>
      <c r="T29" s="210">
        <f t="shared" si="7"/>
        <v>0</v>
      </c>
      <c r="U29" s="210">
        <f t="shared" si="8"/>
        <v>0</v>
      </c>
    </row>
    <row r="30" spans="1:21">
      <c r="A30" s="207">
        <v>2021</v>
      </c>
      <c r="B30" s="139">
        <v>62024.489795918395</v>
      </c>
      <c r="C30" s="139"/>
      <c r="D30" s="209">
        <f t="shared" si="9"/>
        <v>0</v>
      </c>
      <c r="E30" s="25">
        <f t="shared" si="10"/>
        <v>0</v>
      </c>
      <c r="F30" s="25">
        <f t="shared" si="11"/>
        <v>0</v>
      </c>
      <c r="G30" s="16"/>
      <c r="H30" s="139"/>
      <c r="I30" s="139"/>
      <c r="J30" s="139"/>
      <c r="K30" s="209">
        <f t="shared" si="0"/>
        <v>0</v>
      </c>
      <c r="L30" s="210">
        <f t="shared" si="1"/>
        <v>0</v>
      </c>
      <c r="M30" s="210">
        <f t="shared" si="2"/>
        <v>0</v>
      </c>
      <c r="O30" s="209">
        <f t="shared" si="3"/>
        <v>0</v>
      </c>
      <c r="P30" s="210">
        <f t="shared" si="4"/>
        <v>0</v>
      </c>
      <c r="Q30" s="210">
        <f t="shared" si="5"/>
        <v>0</v>
      </c>
      <c r="S30" s="209">
        <f t="shared" si="6"/>
        <v>0</v>
      </c>
      <c r="T30" s="210">
        <f t="shared" si="7"/>
        <v>0</v>
      </c>
      <c r="U30" s="210">
        <f t="shared" si="8"/>
        <v>0</v>
      </c>
    </row>
    <row r="31" spans="1:21">
      <c r="A31" s="207">
        <v>2022</v>
      </c>
      <c r="B31" s="139">
        <v>64151.90882372819</v>
      </c>
      <c r="C31" s="139"/>
      <c r="D31" s="209">
        <f t="shared" si="9"/>
        <v>0</v>
      </c>
      <c r="E31" s="25">
        <f t="shared" si="10"/>
        <v>0</v>
      </c>
      <c r="F31" s="25">
        <f t="shared" si="11"/>
        <v>0</v>
      </c>
      <c r="G31" s="16"/>
      <c r="H31" s="139"/>
      <c r="I31" s="139"/>
      <c r="J31" s="139"/>
      <c r="K31" s="209">
        <f t="shared" si="0"/>
        <v>0</v>
      </c>
      <c r="L31" s="210">
        <f t="shared" si="1"/>
        <v>0</v>
      </c>
      <c r="M31" s="210">
        <f t="shared" si="2"/>
        <v>0</v>
      </c>
      <c r="O31" s="209">
        <f t="shared" si="3"/>
        <v>0</v>
      </c>
      <c r="P31" s="210">
        <f t="shared" si="4"/>
        <v>0</v>
      </c>
      <c r="Q31" s="210">
        <f t="shared" si="5"/>
        <v>0</v>
      </c>
      <c r="S31" s="209">
        <f t="shared" si="6"/>
        <v>0</v>
      </c>
      <c r="T31" s="210">
        <f t="shared" si="7"/>
        <v>0</v>
      </c>
      <c r="U31" s="210">
        <f t="shared" si="8"/>
        <v>0</v>
      </c>
    </row>
    <row r="32" spans="1:21">
      <c r="A32" s="211">
        <v>2023</v>
      </c>
      <c r="B32" s="139">
        <v>66352.297604852836</v>
      </c>
      <c r="C32" s="139"/>
      <c r="D32" s="209">
        <f t="shared" si="9"/>
        <v>0</v>
      </c>
      <c r="E32" s="25">
        <f t="shared" si="10"/>
        <v>0</v>
      </c>
      <c r="F32" s="25">
        <f t="shared" si="11"/>
        <v>0</v>
      </c>
      <c r="G32" s="16"/>
      <c r="H32" s="139"/>
      <c r="I32" s="139"/>
      <c r="J32" s="139"/>
      <c r="K32" s="209">
        <f t="shared" si="0"/>
        <v>0</v>
      </c>
      <c r="L32" s="210">
        <f t="shared" si="1"/>
        <v>0</v>
      </c>
      <c r="M32" s="210">
        <f t="shared" si="2"/>
        <v>0</v>
      </c>
      <c r="O32" s="209">
        <f t="shared" si="3"/>
        <v>0</v>
      </c>
      <c r="P32" s="210">
        <f t="shared" si="4"/>
        <v>0</v>
      </c>
      <c r="Q32" s="210">
        <f t="shared" si="5"/>
        <v>0</v>
      </c>
      <c r="S32" s="209">
        <f t="shared" si="6"/>
        <v>0</v>
      </c>
      <c r="T32" s="210">
        <f t="shared" si="7"/>
        <v>0</v>
      </c>
      <c r="U32" s="210">
        <f t="shared" si="8"/>
        <v>0</v>
      </c>
    </row>
    <row r="33" spans="1:21">
      <c r="A33" s="211">
        <v>2024</v>
      </c>
      <c r="B33" s="139">
        <v>68628.158977157931</v>
      </c>
      <c r="C33" s="139"/>
      <c r="D33" s="209">
        <f t="shared" si="9"/>
        <v>0</v>
      </c>
      <c r="E33" s="25">
        <f t="shared" si="10"/>
        <v>0</v>
      </c>
      <c r="F33" s="25">
        <f t="shared" si="11"/>
        <v>0</v>
      </c>
      <c r="G33" s="16"/>
      <c r="H33" s="139"/>
      <c r="I33" s="139"/>
      <c r="J33" s="139"/>
      <c r="K33" s="209">
        <f t="shared" si="0"/>
        <v>0</v>
      </c>
      <c r="L33" s="210">
        <f t="shared" si="1"/>
        <v>0</v>
      </c>
      <c r="M33" s="210">
        <f t="shared" si="2"/>
        <v>0</v>
      </c>
      <c r="O33" s="209">
        <f t="shared" si="3"/>
        <v>0</v>
      </c>
      <c r="P33" s="210">
        <f t="shared" si="4"/>
        <v>0</v>
      </c>
      <c r="Q33" s="210">
        <f t="shared" si="5"/>
        <v>0</v>
      </c>
      <c r="S33" s="209">
        <f t="shared" si="6"/>
        <v>0</v>
      </c>
      <c r="T33" s="210">
        <f t="shared" si="7"/>
        <v>0</v>
      </c>
      <c r="U33" s="210">
        <f t="shared" si="8"/>
        <v>0</v>
      </c>
    </row>
    <row r="34" spans="1:21">
      <c r="A34" s="138">
        <v>2025</v>
      </c>
      <c r="B34" s="139">
        <v>70982.081625001607</v>
      </c>
      <c r="C34" s="139"/>
      <c r="D34" s="209">
        <f t="shared" si="9"/>
        <v>0</v>
      </c>
      <c r="E34" s="25">
        <f t="shared" si="10"/>
        <v>0</v>
      </c>
      <c r="F34" s="25">
        <f t="shared" si="11"/>
        <v>0</v>
      </c>
      <c r="G34" s="16"/>
      <c r="H34" s="139"/>
      <c r="I34" s="139"/>
      <c r="J34" s="139"/>
      <c r="K34" s="209">
        <f t="shared" si="0"/>
        <v>0</v>
      </c>
      <c r="L34" s="210">
        <f t="shared" si="1"/>
        <v>0</v>
      </c>
      <c r="M34" s="210">
        <f t="shared" si="2"/>
        <v>0</v>
      </c>
      <c r="O34" s="209">
        <f t="shared" si="3"/>
        <v>0</v>
      </c>
      <c r="P34" s="210">
        <f t="shared" si="4"/>
        <v>0</v>
      </c>
      <c r="Q34" s="210">
        <f t="shared" si="5"/>
        <v>0</v>
      </c>
      <c r="S34" s="209">
        <f t="shared" si="6"/>
        <v>0</v>
      </c>
      <c r="T34" s="210">
        <f t="shared" si="7"/>
        <v>0</v>
      </c>
      <c r="U34" s="210">
        <f t="shared" si="8"/>
        <v>0</v>
      </c>
    </row>
    <row r="35" spans="1:21">
      <c r="A35" s="138">
        <v>2026</v>
      </c>
      <c r="B35" s="139">
        <v>73416.743023740171</v>
      </c>
      <c r="C35" s="139"/>
      <c r="D35" s="209">
        <f t="shared" si="9"/>
        <v>0</v>
      </c>
      <c r="E35" s="25">
        <f t="shared" si="10"/>
        <v>0</v>
      </c>
      <c r="F35" s="25">
        <f t="shared" si="11"/>
        <v>0</v>
      </c>
      <c r="G35" s="16"/>
      <c r="H35" s="139"/>
      <c r="I35" s="139"/>
      <c r="J35" s="139"/>
      <c r="K35" s="209">
        <f t="shared" si="0"/>
        <v>0</v>
      </c>
      <c r="L35" s="210">
        <f t="shared" si="1"/>
        <v>0</v>
      </c>
      <c r="M35" s="210">
        <f t="shared" si="2"/>
        <v>0</v>
      </c>
      <c r="O35" s="209">
        <f t="shared" si="3"/>
        <v>0</v>
      </c>
      <c r="P35" s="210">
        <f t="shared" si="4"/>
        <v>0</v>
      </c>
      <c r="Q35" s="210">
        <f t="shared" si="5"/>
        <v>0</v>
      </c>
      <c r="S35" s="209">
        <f t="shared" si="6"/>
        <v>0</v>
      </c>
      <c r="T35" s="210">
        <f t="shared" si="7"/>
        <v>0</v>
      </c>
      <c r="U35" s="210">
        <f t="shared" si="8"/>
        <v>0</v>
      </c>
    </row>
    <row r="36" spans="1:21">
      <c r="A36" s="138">
        <v>2027</v>
      </c>
      <c r="B36" s="139">
        <v>75934.912485229317</v>
      </c>
      <c r="C36" s="139"/>
      <c r="D36" s="209">
        <f t="shared" si="9"/>
        <v>0</v>
      </c>
      <c r="E36" s="25">
        <f t="shared" si="10"/>
        <v>0</v>
      </c>
      <c r="F36" s="25">
        <f t="shared" si="11"/>
        <v>0</v>
      </c>
      <c r="G36" s="16"/>
      <c r="H36" s="139"/>
      <c r="I36" s="139"/>
      <c r="J36" s="139"/>
      <c r="K36" s="209">
        <f t="shared" si="0"/>
        <v>0</v>
      </c>
      <c r="L36" s="210">
        <f t="shared" si="1"/>
        <v>0</v>
      </c>
      <c r="M36" s="210">
        <f t="shared" si="2"/>
        <v>0</v>
      </c>
      <c r="O36" s="209">
        <f t="shared" si="3"/>
        <v>0</v>
      </c>
      <c r="P36" s="210">
        <f t="shared" si="4"/>
        <v>0</v>
      </c>
      <c r="Q36" s="210">
        <f t="shared" si="5"/>
        <v>0</v>
      </c>
      <c r="S36" s="209">
        <f t="shared" si="6"/>
        <v>0</v>
      </c>
      <c r="T36" s="210">
        <f t="shared" si="7"/>
        <v>0</v>
      </c>
      <c r="U36" s="210">
        <f t="shared" si="8"/>
        <v>0</v>
      </c>
    </row>
    <row r="37" spans="1:21">
      <c r="A37" s="138">
        <v>2028</v>
      </c>
      <c r="B37" s="139">
        <v>78539.45430778501</v>
      </c>
      <c r="C37" s="212">
        <v>0.14499999999999999</v>
      </c>
      <c r="D37" s="209">
        <f t="shared" si="9"/>
        <v>120913030.04062656</v>
      </c>
      <c r="E37" s="210">
        <f t="shared" si="10"/>
        <v>57444910</v>
      </c>
      <c r="F37" s="210">
        <f t="shared" si="11"/>
        <v>87350146</v>
      </c>
      <c r="H37" s="212">
        <v>0.01</v>
      </c>
      <c r="I37" s="212">
        <v>0</v>
      </c>
      <c r="J37" s="212">
        <v>0.01</v>
      </c>
      <c r="K37" s="209">
        <f>I37*$C$20*10^6</f>
        <v>0</v>
      </c>
      <c r="L37" s="210">
        <f>ROUND(K37/(1.07^(A37-2017)),0)</f>
        <v>0</v>
      </c>
      <c r="M37" s="210">
        <f>ROUND(K37/(1.03^(A37-2017)),0)</f>
        <v>0</v>
      </c>
      <c r="O37" s="209">
        <f>AVERAGE(S37,K37)</f>
        <v>2168095.7110733041</v>
      </c>
      <c r="P37" s="210">
        <f>ROUND(O37/(1.07^(A37-2017)),0)</f>
        <v>1030047</v>
      </c>
      <c r="Q37" s="210">
        <f>ROUND(O37/(1.03^(A37-2017)),0)</f>
        <v>1566278</v>
      </c>
      <c r="S37" s="209">
        <f t="shared" ref="S37:S56" si="12">J37*$C$20*10^6</f>
        <v>4336191.4221466081</v>
      </c>
      <c r="T37" s="210">
        <f t="shared" ref="T37:T56" si="13">ROUND(S37/(1.07^(A37-2017)),0)</f>
        <v>2060093</v>
      </c>
      <c r="U37" s="210">
        <f t="shared" ref="U37:U56" si="14">ROUND(S37/(1.03^(A37-2017)),0)</f>
        <v>3132557</v>
      </c>
    </row>
    <row r="38" spans="1:21">
      <c r="A38" s="138">
        <v>2029</v>
      </c>
      <c r="B38" s="139">
        <v>81233.331034186966</v>
      </c>
      <c r="C38" s="212">
        <v>0.17549999999999999</v>
      </c>
      <c r="D38" s="209">
        <f>((B38*C38)-(C37*B37))*$C$7</f>
        <v>30453064.56811041</v>
      </c>
      <c r="E38" s="210">
        <f t="shared" si="10"/>
        <v>13521525</v>
      </c>
      <c r="F38" s="210">
        <f t="shared" si="11"/>
        <v>21359167</v>
      </c>
      <c r="H38" s="212">
        <v>0.02</v>
      </c>
      <c r="I38" s="212">
        <v>5.0000000000000001E-3</v>
      </c>
      <c r="J38" s="212">
        <v>0.02</v>
      </c>
      <c r="K38" s="209">
        <f t="shared" ref="K38:K56" si="15">I38*$C$20*10^6</f>
        <v>2168095.7110733041</v>
      </c>
      <c r="L38" s="210">
        <f t="shared" ref="L38:L56" si="16">ROUND(K38/(1.07^(A38-2017)),0)</f>
        <v>962660</v>
      </c>
      <c r="M38" s="210">
        <f t="shared" ref="M38:M56" si="17">ROUND(K38/(1.03^(A38-2017)),0)</f>
        <v>1520659</v>
      </c>
      <c r="O38" s="209">
        <f t="shared" ref="O38:O56" si="18">AVERAGE(S38,K38)</f>
        <v>5420239.2776832599</v>
      </c>
      <c r="P38" s="210">
        <f t="shared" ref="P38:P56" si="19">ROUND(O38/(1.07^(A38-2017)),0)</f>
        <v>2406651</v>
      </c>
      <c r="Q38" s="210">
        <f t="shared" ref="Q38:Q56" si="20">ROUND(O38/(1.03^(A38-2017)),0)</f>
        <v>3801647</v>
      </c>
      <c r="S38" s="209">
        <f t="shared" si="12"/>
        <v>8672382.8442932162</v>
      </c>
      <c r="T38" s="210">
        <f t="shared" si="13"/>
        <v>3850642</v>
      </c>
      <c r="U38" s="210">
        <f t="shared" si="14"/>
        <v>6082635</v>
      </c>
    </row>
    <row r="39" spans="1:21">
      <c r="A39" s="138">
        <v>2030</v>
      </c>
      <c r="B39" s="139">
        <v>84019.606821430498</v>
      </c>
      <c r="C39" s="212">
        <v>0.20599999999999999</v>
      </c>
      <c r="D39" s="209">
        <f t="shared" ref="D39:D46" si="21">((B39*C39)-(C38*B38))*$C$7</f>
        <v>32399874.037359249</v>
      </c>
      <c r="E39" s="210">
        <f t="shared" si="10"/>
        <v>13444796</v>
      </c>
      <c r="F39" s="210">
        <f t="shared" si="11"/>
        <v>22062738</v>
      </c>
      <c r="H39" s="212">
        <v>0.04</v>
      </c>
      <c r="I39" s="212">
        <v>0.01</v>
      </c>
      <c r="J39" s="212">
        <v>0.03</v>
      </c>
      <c r="K39" s="209">
        <f t="shared" si="15"/>
        <v>4336191.4221466081</v>
      </c>
      <c r="L39" s="210">
        <f t="shared" si="16"/>
        <v>1799365</v>
      </c>
      <c r="M39" s="210">
        <f t="shared" si="17"/>
        <v>2952735</v>
      </c>
      <c r="O39" s="209">
        <f t="shared" si="18"/>
        <v>8672382.8442932162</v>
      </c>
      <c r="P39" s="210">
        <f t="shared" si="19"/>
        <v>3598731</v>
      </c>
      <c r="Q39" s="210">
        <f t="shared" si="20"/>
        <v>5905471</v>
      </c>
      <c r="S39" s="209">
        <f t="shared" si="12"/>
        <v>13008574.266439823</v>
      </c>
      <c r="T39" s="210">
        <f t="shared" si="13"/>
        <v>5398096</v>
      </c>
      <c r="U39" s="210">
        <f t="shared" si="14"/>
        <v>8858206</v>
      </c>
    </row>
    <row r="40" spans="1:21">
      <c r="A40" s="138">
        <v>2031</v>
      </c>
      <c r="B40" s="139">
        <v>86901.450926059813</v>
      </c>
      <c r="C40" s="212">
        <v>0.23649999999999999</v>
      </c>
      <c r="D40" s="209">
        <f t="shared" si="21"/>
        <v>34444406.300097004</v>
      </c>
      <c r="E40" s="210">
        <f t="shared" si="10"/>
        <v>13358135</v>
      </c>
      <c r="F40" s="210">
        <f t="shared" si="11"/>
        <v>22771810</v>
      </c>
      <c r="H40" s="212">
        <v>0.06</v>
      </c>
      <c r="I40" s="212">
        <v>1.4999999999999999E-2</v>
      </c>
      <c r="J40" s="212">
        <v>0.05</v>
      </c>
      <c r="K40" s="209">
        <f t="shared" si="15"/>
        <v>6504287.1332199117</v>
      </c>
      <c r="L40" s="210">
        <f t="shared" si="16"/>
        <v>2522475</v>
      </c>
      <c r="M40" s="210">
        <f t="shared" si="17"/>
        <v>4300100</v>
      </c>
      <c r="O40" s="209">
        <f t="shared" si="18"/>
        <v>14092622.121976476</v>
      </c>
      <c r="P40" s="210">
        <f t="shared" si="19"/>
        <v>5465362</v>
      </c>
      <c r="Q40" s="210">
        <f t="shared" si="20"/>
        <v>9316883</v>
      </c>
      <c r="S40" s="209">
        <f t="shared" si="12"/>
        <v>21680957.11073304</v>
      </c>
      <c r="T40" s="210">
        <f t="shared" si="13"/>
        <v>8408249</v>
      </c>
      <c r="U40" s="210">
        <f t="shared" si="14"/>
        <v>14333667</v>
      </c>
    </row>
    <row r="41" spans="1:21">
      <c r="A41" s="138">
        <v>2032</v>
      </c>
      <c r="B41" s="139">
        <v>89882.141309046972</v>
      </c>
      <c r="C41" s="212">
        <v>0.26700000000000002</v>
      </c>
      <c r="D41" s="209">
        <f t="shared" si="21"/>
        <v>36591074.717156261</v>
      </c>
      <c r="E41" s="210">
        <f t="shared" si="10"/>
        <v>13262289</v>
      </c>
      <c r="F41" s="210">
        <f t="shared" si="11"/>
        <v>23486418</v>
      </c>
      <c r="H41" s="212">
        <v>0.08</v>
      </c>
      <c r="I41" s="212">
        <v>2.75E-2</v>
      </c>
      <c r="J41" s="212">
        <v>0.08</v>
      </c>
      <c r="K41" s="209">
        <f t="shared" si="15"/>
        <v>11924526.410903171</v>
      </c>
      <c r="L41" s="210">
        <f t="shared" si="16"/>
        <v>4321997</v>
      </c>
      <c r="M41" s="210">
        <f t="shared" si="17"/>
        <v>7653900</v>
      </c>
      <c r="O41" s="209">
        <f t="shared" si="18"/>
        <v>23307028.894038018</v>
      </c>
      <c r="P41" s="210">
        <f t="shared" si="19"/>
        <v>8447540</v>
      </c>
      <c r="Q41" s="210">
        <f t="shared" si="20"/>
        <v>14959895</v>
      </c>
      <c r="S41" s="209">
        <f t="shared" si="12"/>
        <v>34689531.377172865</v>
      </c>
      <c r="T41" s="210">
        <f t="shared" si="13"/>
        <v>12573083</v>
      </c>
      <c r="U41" s="210">
        <f t="shared" si="14"/>
        <v>22265890</v>
      </c>
    </row>
    <row r="42" spans="1:21">
      <c r="A42" s="138">
        <v>2033</v>
      </c>
      <c r="B42" s="139">
        <v>92965.068364316976</v>
      </c>
      <c r="C42" s="212">
        <v>0.29750000000000004</v>
      </c>
      <c r="D42" s="209">
        <f t="shared" si="21"/>
        <v>38844480.435315162</v>
      </c>
      <c r="E42" s="210">
        <f t="shared" si="10"/>
        <v>13157969</v>
      </c>
      <c r="F42" s="210">
        <f t="shared" si="11"/>
        <v>24206596</v>
      </c>
      <c r="H42" s="212">
        <v>0.1</v>
      </c>
      <c r="I42" s="212">
        <v>0.04</v>
      </c>
      <c r="J42" s="212">
        <v>0.15</v>
      </c>
      <c r="K42" s="209">
        <f t="shared" si="15"/>
        <v>17344765.688586432</v>
      </c>
      <c r="L42" s="210">
        <f t="shared" si="16"/>
        <v>5875272</v>
      </c>
      <c r="M42" s="210">
        <f t="shared" si="17"/>
        <v>10808685</v>
      </c>
      <c r="O42" s="209">
        <f t="shared" si="18"/>
        <v>41193818.51039277</v>
      </c>
      <c r="P42" s="210">
        <f t="shared" si="19"/>
        <v>13953772</v>
      </c>
      <c r="Q42" s="210">
        <f t="shared" si="20"/>
        <v>25670626</v>
      </c>
      <c r="S42" s="209">
        <f t="shared" si="12"/>
        <v>65042871.332199112</v>
      </c>
      <c r="T42" s="210">
        <f t="shared" si="13"/>
        <v>22032271</v>
      </c>
      <c r="U42" s="210">
        <f t="shared" si="14"/>
        <v>40532567</v>
      </c>
    </row>
    <row r="43" spans="1:21">
      <c r="A43" s="138">
        <v>2034</v>
      </c>
      <c r="B43" s="139">
        <v>96153.738775160105</v>
      </c>
      <c r="C43" s="212">
        <v>0.32800000000000007</v>
      </c>
      <c r="D43" s="209">
        <f t="shared" si="21"/>
        <v>41209420.07711459</v>
      </c>
      <c r="E43" s="210">
        <f t="shared" si="10"/>
        <v>13045847</v>
      </c>
      <c r="F43" s="210">
        <f t="shared" si="11"/>
        <v>24932377</v>
      </c>
      <c r="H43" s="212">
        <v>0.13</v>
      </c>
      <c r="I43" s="212">
        <v>0.06</v>
      </c>
      <c r="J43" s="212">
        <v>0.21</v>
      </c>
      <c r="K43" s="209">
        <f t="shared" si="15"/>
        <v>26017148.532879647</v>
      </c>
      <c r="L43" s="210">
        <f t="shared" si="16"/>
        <v>8236363</v>
      </c>
      <c r="M43" s="210">
        <f t="shared" si="17"/>
        <v>15740803</v>
      </c>
      <c r="O43" s="209">
        <f t="shared" si="18"/>
        <v>58538584.198979206</v>
      </c>
      <c r="P43" s="210">
        <f t="shared" si="19"/>
        <v>18531817</v>
      </c>
      <c r="Q43" s="210">
        <f t="shared" si="20"/>
        <v>35416806</v>
      </c>
      <c r="S43" s="209">
        <f t="shared" si="12"/>
        <v>91060019.865078762</v>
      </c>
      <c r="T43" s="210">
        <f t="shared" si="13"/>
        <v>28827270</v>
      </c>
      <c r="U43" s="210">
        <f t="shared" si="14"/>
        <v>55092810</v>
      </c>
    </row>
    <row r="44" spans="1:21">
      <c r="A44" s="138">
        <v>2035</v>
      </c>
      <c r="B44" s="139">
        <v>99451.779502917765</v>
      </c>
      <c r="C44" s="212">
        <v>0.3585000000000001</v>
      </c>
      <c r="D44" s="209">
        <f t="shared" si="21"/>
        <v>43690893.737266198</v>
      </c>
      <c r="E44" s="210">
        <f t="shared" si="10"/>
        <v>12926559</v>
      </c>
      <c r="F44" s="210">
        <f t="shared" si="11"/>
        <v>25663795</v>
      </c>
      <c r="H44" s="212">
        <v>0.16</v>
      </c>
      <c r="I44" s="212">
        <v>7.0000000000000007E-2</v>
      </c>
      <c r="J44" s="212">
        <v>0.28999999999999998</v>
      </c>
      <c r="K44" s="209">
        <f t="shared" si="15"/>
        <v>30353339.955026258</v>
      </c>
      <c r="L44" s="210">
        <f t="shared" si="16"/>
        <v>8980458</v>
      </c>
      <c r="M44" s="210">
        <f t="shared" si="17"/>
        <v>17829388</v>
      </c>
      <c r="O44" s="209">
        <f t="shared" si="18"/>
        <v>78051445.598638937</v>
      </c>
      <c r="P44" s="210">
        <f t="shared" si="19"/>
        <v>23092606</v>
      </c>
      <c r="Q44" s="210">
        <f t="shared" si="20"/>
        <v>45846998</v>
      </c>
      <c r="S44" s="209">
        <f t="shared" si="12"/>
        <v>125749551.24225162</v>
      </c>
      <c r="T44" s="210">
        <f t="shared" si="13"/>
        <v>37204755</v>
      </c>
      <c r="U44" s="210">
        <f t="shared" si="14"/>
        <v>73864608</v>
      </c>
    </row>
    <row r="45" spans="1:21">
      <c r="A45" s="138">
        <v>2036</v>
      </c>
      <c r="B45" s="139">
        <v>102862.941912479</v>
      </c>
      <c r="C45" s="212">
        <v>0.38900000000000012</v>
      </c>
      <c r="D45" s="209">
        <f t="shared" si="21"/>
        <v>46294113.297638856</v>
      </c>
      <c r="E45" s="210">
        <f t="shared" si="10"/>
        <v>12800708</v>
      </c>
      <c r="F45" s="210">
        <f t="shared" si="11"/>
        <v>26400886</v>
      </c>
      <c r="H45" s="212">
        <v>0.2</v>
      </c>
      <c r="I45" s="212">
        <v>0.08</v>
      </c>
      <c r="J45" s="212">
        <v>0.36</v>
      </c>
      <c r="K45" s="209">
        <f t="shared" si="15"/>
        <v>34689531.377172865</v>
      </c>
      <c r="L45" s="210">
        <f t="shared" si="16"/>
        <v>9591944</v>
      </c>
      <c r="M45" s="210">
        <f t="shared" si="17"/>
        <v>19782955</v>
      </c>
      <c r="O45" s="209">
        <f t="shared" si="18"/>
        <v>95396211.287225366</v>
      </c>
      <c r="P45" s="210">
        <f t="shared" si="19"/>
        <v>26377847</v>
      </c>
      <c r="Q45" s="210">
        <f t="shared" si="20"/>
        <v>54403126</v>
      </c>
      <c r="S45" s="209">
        <f t="shared" si="12"/>
        <v>156102891.19727787</v>
      </c>
      <c r="T45" s="210">
        <f t="shared" si="13"/>
        <v>43163750</v>
      </c>
      <c r="U45" s="210">
        <f t="shared" si="14"/>
        <v>89023298</v>
      </c>
    </row>
    <row r="46" spans="1:21">
      <c r="A46" s="138">
        <v>2037</v>
      </c>
      <c r="B46" s="139">
        <v>106391.10603928013</v>
      </c>
      <c r="C46" s="212">
        <v>0.45</v>
      </c>
      <c r="D46" s="209">
        <f t="shared" si="21"/>
        <v>83477141.544450104</v>
      </c>
      <c r="E46" s="210">
        <f t="shared" si="10"/>
        <v>21572080</v>
      </c>
      <c r="F46" s="210">
        <f t="shared" si="11"/>
        <v>46219269</v>
      </c>
      <c r="H46" s="212">
        <v>0.23</v>
      </c>
      <c r="I46" s="212">
        <v>0.1</v>
      </c>
      <c r="J46" s="212">
        <v>0.45</v>
      </c>
      <c r="K46" s="209">
        <f t="shared" si="15"/>
        <v>43361914.221466079</v>
      </c>
      <c r="L46" s="210">
        <f t="shared" si="16"/>
        <v>11205543</v>
      </c>
      <c r="M46" s="210">
        <f t="shared" si="17"/>
        <v>24008441</v>
      </c>
      <c r="O46" s="209">
        <f t="shared" si="18"/>
        <v>119245264.10903171</v>
      </c>
      <c r="P46" s="210">
        <f t="shared" si="19"/>
        <v>30815242</v>
      </c>
      <c r="Q46" s="210">
        <f t="shared" si="20"/>
        <v>66023212</v>
      </c>
      <c r="S46" s="209">
        <f t="shared" si="12"/>
        <v>195128613.99659735</v>
      </c>
      <c r="T46" s="210">
        <f t="shared" si="13"/>
        <v>50424942</v>
      </c>
      <c r="U46" s="210">
        <f t="shared" si="14"/>
        <v>108037983</v>
      </c>
    </row>
    <row r="47" spans="1:21">
      <c r="A47" s="138">
        <v>2038</v>
      </c>
      <c r="B47" s="139">
        <v>110040.28500266095</v>
      </c>
      <c r="C47" s="212">
        <v>0.49090909090909091</v>
      </c>
      <c r="D47" s="209">
        <f>((B47*C47)-(C46*B46))*$C$8</f>
        <v>13046162.158705475</v>
      </c>
      <c r="E47" s="210">
        <f t="shared" si="10"/>
        <v>3150819</v>
      </c>
      <c r="F47" s="210">
        <f t="shared" si="11"/>
        <v>7012955</v>
      </c>
      <c r="H47" s="212">
        <v>0.25</v>
      </c>
      <c r="I47" s="212">
        <v>0.11</v>
      </c>
      <c r="J47" s="212">
        <v>0.5</v>
      </c>
      <c r="K47" s="209">
        <f t="shared" si="15"/>
        <v>47698105.643612683</v>
      </c>
      <c r="L47" s="210">
        <f t="shared" si="16"/>
        <v>11519717</v>
      </c>
      <c r="M47" s="210">
        <f t="shared" si="17"/>
        <v>25640082</v>
      </c>
      <c r="O47" s="209">
        <f t="shared" si="18"/>
        <v>132253838.37547153</v>
      </c>
      <c r="P47" s="210">
        <f t="shared" si="19"/>
        <v>31941033</v>
      </c>
      <c r="Q47" s="210">
        <f t="shared" si="20"/>
        <v>71092955</v>
      </c>
      <c r="S47" s="209">
        <f t="shared" si="12"/>
        <v>216809571.10733038</v>
      </c>
      <c r="T47" s="210">
        <f t="shared" si="13"/>
        <v>52362349</v>
      </c>
      <c r="U47" s="210">
        <f t="shared" si="14"/>
        <v>116545828</v>
      </c>
    </row>
    <row r="48" spans="1:21">
      <c r="A48" s="138">
        <v>2039</v>
      </c>
      <c r="B48" s="139">
        <v>113814.62957059771</v>
      </c>
      <c r="C48" s="212">
        <v>0.53181818181818186</v>
      </c>
      <c r="D48" s="209">
        <f t="shared" ref="D48:D56" si="22">((B48*C48)-(C47*B47))*$C$8</f>
        <v>13821516.327565607</v>
      </c>
      <c r="E48" s="210">
        <f t="shared" si="10"/>
        <v>3119698</v>
      </c>
      <c r="F48" s="210">
        <f t="shared" si="11"/>
        <v>7213346</v>
      </c>
      <c r="H48" s="212">
        <v>0.3</v>
      </c>
      <c r="I48" s="212">
        <v>0.13</v>
      </c>
      <c r="J48" s="212">
        <v>0.52</v>
      </c>
      <c r="K48" s="209">
        <f t="shared" si="15"/>
        <v>56370488.487905905</v>
      </c>
      <c r="L48" s="210">
        <f t="shared" si="16"/>
        <v>12723561</v>
      </c>
      <c r="M48" s="210">
        <f t="shared" si="17"/>
        <v>29419335</v>
      </c>
      <c r="O48" s="209">
        <f t="shared" si="18"/>
        <v>140926221.21976477</v>
      </c>
      <c r="P48" s="210">
        <f t="shared" si="19"/>
        <v>31808903</v>
      </c>
      <c r="Q48" s="210">
        <f t="shared" si="20"/>
        <v>73548338</v>
      </c>
      <c r="S48" s="209">
        <f t="shared" si="12"/>
        <v>225481953.95162362</v>
      </c>
      <c r="T48" s="210">
        <f t="shared" si="13"/>
        <v>50894246</v>
      </c>
      <c r="U48" s="210">
        <f t="shared" si="14"/>
        <v>117677341</v>
      </c>
    </row>
    <row r="49" spans="1:54">
      <c r="A49" s="138">
        <v>2040</v>
      </c>
      <c r="B49" s="139">
        <v>117718.43288100473</v>
      </c>
      <c r="C49" s="212">
        <v>0.57272727272727275</v>
      </c>
      <c r="D49" s="209">
        <f t="shared" si="22"/>
        <v>14634710.891365629</v>
      </c>
      <c r="E49" s="210">
        <f t="shared" si="10"/>
        <v>3087147</v>
      </c>
      <c r="F49" s="210">
        <f t="shared" si="11"/>
        <v>7415287</v>
      </c>
      <c r="H49" s="212">
        <v>0.35</v>
      </c>
      <c r="I49" s="212">
        <v>0.16</v>
      </c>
      <c r="J49" s="212">
        <v>0.55000000000000004</v>
      </c>
      <c r="K49" s="209">
        <f t="shared" si="15"/>
        <v>69379062.75434573</v>
      </c>
      <c r="L49" s="210">
        <f t="shared" si="16"/>
        <v>14635297</v>
      </c>
      <c r="M49" s="210">
        <f t="shared" si="17"/>
        <v>35153799</v>
      </c>
      <c r="O49" s="209">
        <f t="shared" si="18"/>
        <v>153934795.48620459</v>
      </c>
      <c r="P49" s="210">
        <f t="shared" si="19"/>
        <v>32472065</v>
      </c>
      <c r="Q49" s="210">
        <f t="shared" si="20"/>
        <v>77997491</v>
      </c>
      <c r="S49" s="209">
        <f t="shared" si="12"/>
        <v>238490528.21806344</v>
      </c>
      <c r="T49" s="210">
        <f t="shared" si="13"/>
        <v>50308834</v>
      </c>
      <c r="U49" s="210">
        <f t="shared" si="14"/>
        <v>120841183</v>
      </c>
    </row>
    <row r="50" spans="1:54">
      <c r="A50" s="138">
        <v>2041</v>
      </c>
      <c r="B50" s="139">
        <v>121756.13532497518</v>
      </c>
      <c r="C50" s="212">
        <v>0.61363636363636365</v>
      </c>
      <c r="D50" s="209">
        <f t="shared" si="22"/>
        <v>15487429.497167256</v>
      </c>
      <c r="E50" s="210">
        <f t="shared" si="10"/>
        <v>3053294</v>
      </c>
      <c r="F50" s="210">
        <f t="shared" si="11"/>
        <v>7618789</v>
      </c>
      <c r="H50" s="212">
        <v>0.4</v>
      </c>
      <c r="I50" s="212">
        <v>0.2</v>
      </c>
      <c r="J50" s="212">
        <v>0.6</v>
      </c>
      <c r="K50" s="209">
        <f t="shared" si="15"/>
        <v>86723828.442932159</v>
      </c>
      <c r="L50" s="210">
        <f t="shared" si="16"/>
        <v>17097310</v>
      </c>
      <c r="M50" s="210">
        <f t="shared" si="17"/>
        <v>42662377</v>
      </c>
      <c r="O50" s="209">
        <f t="shared" si="18"/>
        <v>173447656.88586432</v>
      </c>
      <c r="P50" s="210">
        <f t="shared" si="19"/>
        <v>34194619</v>
      </c>
      <c r="Q50" s="210">
        <f t="shared" si="20"/>
        <v>85324754</v>
      </c>
      <c r="S50" s="209">
        <f t="shared" si="12"/>
        <v>260171485.32879645</v>
      </c>
      <c r="T50" s="210">
        <f t="shared" si="13"/>
        <v>51291929</v>
      </c>
      <c r="U50" s="210">
        <f t="shared" si="14"/>
        <v>127987131</v>
      </c>
    </row>
    <row r="51" spans="1:54">
      <c r="A51" s="99">
        <v>2042</v>
      </c>
      <c r="B51" s="131">
        <v>125932.32959751529</v>
      </c>
      <c r="C51" s="213">
        <v>0.65454545454545454</v>
      </c>
      <c r="D51" s="214">
        <f t="shared" si="22"/>
        <v>16381426.771113427</v>
      </c>
      <c r="E51" s="65">
        <f t="shared" si="10"/>
        <v>3018264</v>
      </c>
      <c r="F51" s="65">
        <f t="shared" si="11"/>
        <v>7823861</v>
      </c>
      <c r="G51" s="27"/>
      <c r="H51" s="213">
        <v>0.46</v>
      </c>
      <c r="I51" s="213">
        <v>0.25</v>
      </c>
      <c r="J51" s="213">
        <v>0.65</v>
      </c>
      <c r="K51" s="214">
        <f t="shared" si="15"/>
        <v>108404785.55366519</v>
      </c>
      <c r="L51" s="65">
        <f t="shared" si="16"/>
        <v>19973493</v>
      </c>
      <c r="M51" s="65">
        <f t="shared" si="17"/>
        <v>51774729</v>
      </c>
      <c r="N51" s="27"/>
      <c r="O51" s="214">
        <f t="shared" si="18"/>
        <v>195128613.99659735</v>
      </c>
      <c r="P51" s="65">
        <f t="shared" si="19"/>
        <v>35952287</v>
      </c>
      <c r="Q51" s="65">
        <f t="shared" si="20"/>
        <v>93194513</v>
      </c>
      <c r="R51" s="27"/>
      <c r="S51" s="214">
        <f t="shared" si="12"/>
        <v>281852442.43952954</v>
      </c>
      <c r="T51" s="65">
        <f t="shared" si="13"/>
        <v>51931081</v>
      </c>
      <c r="U51" s="65">
        <f t="shared" si="14"/>
        <v>134614296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>
      <c r="A52" s="99">
        <v>2043</v>
      </c>
      <c r="B52" s="131">
        <v>130251.76592151709</v>
      </c>
      <c r="C52" s="213">
        <v>0.69545454545454544</v>
      </c>
      <c r="D52" s="214">
        <f t="shared" si="22"/>
        <v>17318531.206790622</v>
      </c>
      <c r="E52" s="65">
        <f t="shared" si="10"/>
        <v>2982173</v>
      </c>
      <c r="F52" s="65">
        <f t="shared" si="11"/>
        <v>8030512</v>
      </c>
      <c r="G52" s="27"/>
      <c r="H52" s="213">
        <v>0.49</v>
      </c>
      <c r="I52" s="213">
        <v>0.27</v>
      </c>
      <c r="J52" s="213">
        <v>0.7</v>
      </c>
      <c r="K52" s="214">
        <f t="shared" si="15"/>
        <v>117077168.39795841</v>
      </c>
      <c r="L52" s="65">
        <f t="shared" si="16"/>
        <v>20160161</v>
      </c>
      <c r="M52" s="65">
        <f t="shared" si="17"/>
        <v>54288066</v>
      </c>
      <c r="N52" s="27"/>
      <c r="O52" s="214">
        <f t="shared" si="18"/>
        <v>210305283.97411045</v>
      </c>
      <c r="P52" s="65">
        <f t="shared" si="19"/>
        <v>36213622</v>
      </c>
      <c r="Q52" s="65">
        <f t="shared" si="20"/>
        <v>97517451</v>
      </c>
      <c r="R52" s="27"/>
      <c r="S52" s="214">
        <f t="shared" si="12"/>
        <v>303533399.55026251</v>
      </c>
      <c r="T52" s="65">
        <f t="shared" si="13"/>
        <v>52267083</v>
      </c>
      <c r="U52" s="65">
        <f t="shared" si="14"/>
        <v>140746837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>
      <c r="A53" s="99">
        <v>2044</v>
      </c>
      <c r="B53" s="131">
        <v>134719.35745091163</v>
      </c>
      <c r="C53" s="213">
        <v>0.73636363636363633</v>
      </c>
      <c r="D53" s="214">
        <f t="shared" si="22"/>
        <v>18300648.168226026</v>
      </c>
      <c r="E53" s="65">
        <f t="shared" si="10"/>
        <v>2945130</v>
      </c>
      <c r="F53" s="65">
        <f t="shared" si="11"/>
        <v>8238752</v>
      </c>
      <c r="G53" s="27"/>
      <c r="H53" s="213">
        <v>0.53</v>
      </c>
      <c r="I53" s="213">
        <v>0.31</v>
      </c>
      <c r="J53" s="213">
        <v>0.75</v>
      </c>
      <c r="K53" s="214">
        <f t="shared" si="15"/>
        <v>134421934.08654484</v>
      </c>
      <c r="L53" s="65">
        <f t="shared" si="16"/>
        <v>21632571</v>
      </c>
      <c r="M53" s="65">
        <f t="shared" si="17"/>
        <v>60515284</v>
      </c>
      <c r="N53" s="27"/>
      <c r="O53" s="214">
        <f t="shared" si="18"/>
        <v>229818145.37377024</v>
      </c>
      <c r="P53" s="65">
        <f t="shared" si="19"/>
        <v>36984719</v>
      </c>
      <c r="Q53" s="65">
        <f t="shared" si="20"/>
        <v>103461614</v>
      </c>
      <c r="R53" s="27"/>
      <c r="S53" s="214">
        <f t="shared" si="12"/>
        <v>325214356.6609956</v>
      </c>
      <c r="T53" s="65">
        <f t="shared" si="13"/>
        <v>52336866</v>
      </c>
      <c r="U53" s="65">
        <f t="shared" si="14"/>
        <v>146407944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>
      <c r="A54" s="99">
        <v>2045</v>
      </c>
      <c r="B54" s="131">
        <v>139340.18585914851</v>
      </c>
      <c r="C54" s="213">
        <v>0.77727272727272723</v>
      </c>
      <c r="D54" s="214">
        <f t="shared" si="22"/>
        <v>19329763.011985615</v>
      </c>
      <c r="E54" s="65">
        <f t="shared" si="10"/>
        <v>2907239</v>
      </c>
      <c r="F54" s="65">
        <f t="shared" si="11"/>
        <v>8448590</v>
      </c>
      <c r="G54" s="27"/>
      <c r="H54" s="213">
        <v>0.56999999999999995</v>
      </c>
      <c r="I54" s="213">
        <v>0.34</v>
      </c>
      <c r="J54" s="213">
        <v>0.8</v>
      </c>
      <c r="K54" s="214">
        <f t="shared" si="15"/>
        <v>147430508.35298467</v>
      </c>
      <c r="L54" s="65">
        <f t="shared" si="16"/>
        <v>22173875</v>
      </c>
      <c r="M54" s="65">
        <f t="shared" si="17"/>
        <v>64438448</v>
      </c>
      <c r="N54" s="27"/>
      <c r="O54" s="214">
        <f t="shared" si="18"/>
        <v>247162911.06235665</v>
      </c>
      <c r="P54" s="65">
        <f t="shared" si="19"/>
        <v>37173849</v>
      </c>
      <c r="Q54" s="65">
        <f t="shared" si="20"/>
        <v>108029163</v>
      </c>
      <c r="R54" s="27"/>
      <c r="S54" s="214">
        <f t="shared" si="12"/>
        <v>346895313.77172863</v>
      </c>
      <c r="T54" s="65">
        <f t="shared" si="13"/>
        <v>52173823</v>
      </c>
      <c r="U54" s="65">
        <f t="shared" si="14"/>
        <v>151619877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>
      <c r="A55" s="99">
        <v>2046</v>
      </c>
      <c r="B55" s="131">
        <v>144119.50711935843</v>
      </c>
      <c r="C55" s="213">
        <v>0.81818181818181812</v>
      </c>
      <c r="D55" s="214">
        <f t="shared" si="22"/>
        <v>20407944.333011031</v>
      </c>
      <c r="E55" s="65">
        <f t="shared" si="10"/>
        <v>2868598</v>
      </c>
      <c r="F55" s="65">
        <f t="shared" si="11"/>
        <v>8660037</v>
      </c>
      <c r="G55" s="27"/>
      <c r="H55" s="213">
        <v>0.62</v>
      </c>
      <c r="I55" s="213">
        <v>0.36</v>
      </c>
      <c r="J55" s="213">
        <v>0.85</v>
      </c>
      <c r="K55" s="214">
        <f t="shared" si="15"/>
        <v>156102891.19727787</v>
      </c>
      <c r="L55" s="65">
        <f t="shared" si="16"/>
        <v>21942262</v>
      </c>
      <c r="M55" s="65">
        <f t="shared" si="17"/>
        <v>66241694</v>
      </c>
      <c r="N55" s="27"/>
      <c r="O55" s="214">
        <f t="shared" si="18"/>
        <v>262339581.03986979</v>
      </c>
      <c r="P55" s="65">
        <f t="shared" si="19"/>
        <v>36875190</v>
      </c>
      <c r="Q55" s="65">
        <f t="shared" si="20"/>
        <v>111322847</v>
      </c>
      <c r="R55" s="27"/>
      <c r="S55" s="214">
        <f t="shared" si="12"/>
        <v>368576270.88246167</v>
      </c>
      <c r="T55" s="65">
        <f t="shared" si="13"/>
        <v>51808118</v>
      </c>
      <c r="U55" s="65">
        <f t="shared" si="14"/>
        <v>156404000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ht="15.75" thickBot="1">
      <c r="A56" s="99">
        <v>2047</v>
      </c>
      <c r="B56" s="131">
        <v>149062.75748277325</v>
      </c>
      <c r="C56" s="213">
        <v>0.85909090909090902</v>
      </c>
      <c r="D56" s="214">
        <f t="shared" si="22"/>
        <v>21537347.33900946</v>
      </c>
      <c r="E56" s="65">
        <f t="shared" si="10"/>
        <v>2829299</v>
      </c>
      <c r="F56" s="65">
        <f t="shared" si="11"/>
        <v>8873102</v>
      </c>
      <c r="G56" s="27"/>
      <c r="H56" s="213">
        <v>0.66</v>
      </c>
      <c r="I56" s="213">
        <v>0.38</v>
      </c>
      <c r="J56" s="213">
        <v>0.87</v>
      </c>
      <c r="K56" s="214">
        <f t="shared" si="15"/>
        <v>164775274.04157108</v>
      </c>
      <c r="L56" s="65">
        <f t="shared" si="16"/>
        <v>21646053</v>
      </c>
      <c r="M56" s="65">
        <f t="shared" si="17"/>
        <v>67885231</v>
      </c>
      <c r="N56" s="27"/>
      <c r="O56" s="214">
        <f t="shared" si="18"/>
        <v>271011963.88416296</v>
      </c>
      <c r="P56" s="65">
        <f t="shared" si="19"/>
        <v>35602060</v>
      </c>
      <c r="Q56" s="65">
        <f t="shared" si="20"/>
        <v>111653341</v>
      </c>
      <c r="R56" s="27"/>
      <c r="S56" s="214">
        <f t="shared" si="12"/>
        <v>377248653.72675484</v>
      </c>
      <c r="T56" s="65">
        <f t="shared" si="13"/>
        <v>49558068</v>
      </c>
      <c r="U56" s="65">
        <f t="shared" si="14"/>
        <v>155421450</v>
      </c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s="218" customFormat="1" ht="15.75" thickBot="1">
      <c r="A57" s="215" t="s">
        <v>350</v>
      </c>
      <c r="B57" s="216"/>
      <c r="C57" s="216">
        <f>SUM(C37:C50)</f>
        <v>5.0620909090909088</v>
      </c>
      <c r="D57" s="216">
        <f>SUM(D37:D50)</f>
        <v>565307317.62993824</v>
      </c>
      <c r="E57" s="216">
        <f>SUM(E37:E50)</f>
        <v>196945776</v>
      </c>
      <c r="F57" s="216">
        <f>SUM(F37:F50)</f>
        <v>353713579</v>
      </c>
      <c r="G57" s="217"/>
      <c r="H57" s="216">
        <f t="shared" ref="H57:M57" si="23">SUM(H37:H50)</f>
        <v>2.33</v>
      </c>
      <c r="I57" s="216">
        <f t="shared" si="23"/>
        <v>1.0075000000000001</v>
      </c>
      <c r="J57" s="216">
        <f t="shared" si="23"/>
        <v>3.82</v>
      </c>
      <c r="K57" s="216">
        <f t="shared" si="23"/>
        <v>436871285.78127074</v>
      </c>
      <c r="L57" s="216">
        <f t="shared" si="23"/>
        <v>109471962</v>
      </c>
      <c r="M57" s="216">
        <f t="shared" si="23"/>
        <v>237473259</v>
      </c>
      <c r="O57" s="219">
        <f>SUM(O37:O50)</f>
        <v>1046648204.5206373</v>
      </c>
      <c r="P57" s="219">
        <f>SUM(P37:P50)</f>
        <v>264136235</v>
      </c>
      <c r="Q57" s="219">
        <f>SUM(Q37:Q50)</f>
        <v>570874480</v>
      </c>
      <c r="S57" s="219">
        <f>SUM(S37:S50)</f>
        <v>1656425123.260004</v>
      </c>
      <c r="T57" s="219">
        <f>SUM(T37:T50)</f>
        <v>418800509</v>
      </c>
      <c r="U57" s="219">
        <f>SUM(U37:U50)</f>
        <v>904275704</v>
      </c>
    </row>
    <row r="58" spans="1:54">
      <c r="B58" s="220"/>
      <c r="C58" s="220"/>
      <c r="E58" s="51"/>
      <c r="H58" t="s">
        <v>498</v>
      </c>
    </row>
  </sheetData>
  <mergeCells count="2">
    <mergeCell ref="B22:F22"/>
    <mergeCell ref="H22:L22"/>
  </mergeCells>
  <hyperlinks>
    <hyperlink ref="A3" r:id="rId1" xr:uid="{F5EA0B60-128E-45FA-A566-EB0D1624FE7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SortOrder xmlns="14a6db35-b134-4f6a-93a5-62673281fb9b">60</SortOrder>
    <Category xmlns="14a6db35-b134-4f6a-93a5-62673281fb9b">Application Information</Category>
    <SubCategory xmlns="14a6db35-b134-4f6a-93a5-62673281fb9b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FD2A56DAAC14AB35CBC26670C92F6" ma:contentTypeVersion="29" ma:contentTypeDescription="Create a new document." ma:contentTypeScope="" ma:versionID="bac26cce0af85c8f9b7518d2775552b4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14a6db35-b134-4f6a-93a5-62673281fb9b" targetNamespace="http://schemas.microsoft.com/office/2006/metadata/properties" ma:root="true" ma:fieldsID="f2b89db1d2dd9b49c9f22679d184f816" ns1:_="" ns2:_="" ns3:_="">
    <xsd:import namespace="http://schemas.microsoft.com/sharepoint/v3"/>
    <xsd:import namespace="16f00c2e-ac5c-418b-9f13-a0771dbd417d"/>
    <xsd:import namespace="14a6db35-b134-4f6a-93a5-62673281fb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Order" minOccurs="0"/>
                <xsd:element ref="ns2:SharedWithUsers" minOccurs="0"/>
                <xsd:element ref="ns3:Sub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6db35-b134-4f6a-93a5-62673281fb9b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Letters of Support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</xsd:restriction>
      </xsd:simpleType>
    </xsd:element>
    <xsd:element name="SortOrder" ma:index="10" nillable="true" ma:displayName="SortOrder" ma:decimals="0" ma:internalName="SortOrder" ma:readOnly="false" ma:percentage="FALSE">
      <xsd:simpleType>
        <xsd:restriction base="dms:Number"/>
      </xsd:simpleType>
    </xsd:element>
    <xsd:element name="SubCategory" ma:index="13" nillable="true" ma:displayName="SubCategory" ma:format="Dropdown" ma:internalName="SubCategory" ma:readOnly="false">
      <xsd:simpleType>
        <xsd:restriction base="dms:Choice">
          <xsd:enumeration value="I-5986B"/>
          <xsd:enumeration value="R-5777AB"/>
          <xsd:enumeration value="U-5713"/>
          <xsd:enumeration value="INFRA - NC Safety Analys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27F0F4-33F5-4539-B9FF-29F488B49DA4}"/>
</file>

<file path=customXml/itemProps2.xml><?xml version="1.0" encoding="utf-8"?>
<ds:datastoreItem xmlns:ds="http://schemas.openxmlformats.org/officeDocument/2006/customXml" ds:itemID="{F08A6362-CD05-4B5A-9C68-E0E7601C8D43}"/>
</file>

<file path=customXml/itemProps3.xml><?xml version="1.0" encoding="utf-8"?>
<ds:datastoreItem xmlns:ds="http://schemas.openxmlformats.org/officeDocument/2006/customXml" ds:itemID="{251E5DCF-C726-409E-9E55-E33EC5270DF9}"/>
</file>

<file path=customXml/itemProps4.xml><?xml version="1.0" encoding="utf-8"?>
<ds:datastoreItem xmlns:ds="http://schemas.openxmlformats.org/officeDocument/2006/customXml" ds:itemID="{74153751-E952-40C9-A7D4-63C1D898A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Inputs</vt:lpstr>
      <vt:lpstr>Costs</vt:lpstr>
      <vt:lpstr>Cost Detail</vt:lpstr>
      <vt:lpstr>DOT Fiber Savings</vt:lpstr>
      <vt:lpstr>Fiber 3rd Party</vt:lpstr>
      <vt:lpstr>Reduced Vehicle Crashes</vt:lpstr>
      <vt:lpstr>ICM Reliability</vt:lpstr>
      <vt:lpstr>AutonomousVehicles</vt:lpstr>
      <vt:lpstr>Deflator</vt:lpstr>
      <vt:lpstr>PopProjection3</vt:lpstr>
      <vt:lpstr>PopProjection4</vt:lpstr>
      <vt:lpstr>Sheet12</vt:lpstr>
      <vt:lpstr>Sheet13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Jones</dc:creator>
  <cp:lastModifiedBy>David Jones</cp:lastModifiedBy>
  <dcterms:created xsi:type="dcterms:W3CDTF">2019-07-16T11:49:18Z</dcterms:created>
  <dcterms:modified xsi:type="dcterms:W3CDTF">2019-07-23T12:20:20Z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0x010100AFDFD2A56DAAC14AB35CBC26670C92F6</vt:lpwstr>
  </property>
  <property fmtid="{D5CDD505-2E9C-101B-9397-08002B2CF9AE}" pid="3" name="Order">
    <vt:r8>8100</vt:r8>
  </property>
</Properties>
</file>