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fileSharing readOnlyRecommended="1" userName="Hulsey, Steven L" algorithmName="SHA-512" hashValue="HUp//4M7RvWU3DPeHANCTFeLBMj6eJCU2PPB1uwh4LSqO79Jtl++YRrMAeajWGCNED45JAvN+h5SaxPkSKF4XA==" saltValue="1vZZ8vrvyChya6rT6SvYZA==" spinCount="1000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t\DFSRoot01\Groups-TPMUCC\Program Management\Grants\BUILD 2020-02\15 Working Documents A9\10 BCA\2020-05-18\"/>
    </mc:Choice>
  </mc:AlternateContent>
  <xr:revisionPtr revIDLastSave="0" documentId="8_{B018B124-DAF7-40C1-9E7B-B6189E2EC6CE}" xr6:coauthVersionLast="45" xr6:coauthVersionMax="45" xr10:uidLastSave="{00000000-0000-0000-0000-000000000000}"/>
  <bookViews>
    <workbookView xWindow="1275" yWindow="-120" windowWidth="27645" windowHeight="16440" tabRatio="870" xr2:uid="{00000000-000D-0000-FFFF-FFFF00000000}"/>
  </bookViews>
  <sheets>
    <sheet name="BCA-Summary" sheetId="21" r:id="rId1"/>
    <sheet name="Inputs" sheetId="3" r:id="rId2"/>
    <sheet name="Traffic_related_data" sheetId="8" r:id="rId3"/>
    <sheet name="Auto_TT_Savings" sheetId="1" r:id="rId4"/>
    <sheet name="Truck_OperatingSavings" sheetId="2" r:id="rId5"/>
    <sheet name="Incident Management_Savings" sheetId="27" r:id="rId6"/>
    <sheet name="Incident Management Calculation" sheetId="26" r:id="rId7"/>
    <sheet name="Resiliency_Savings" sheetId="31" r:id="rId8"/>
    <sheet name="Resiliency_Traffic_related_data" sheetId="29" r:id="rId9"/>
    <sheet name="Reliability_Savings" sheetId="33" r:id="rId10"/>
    <sheet name="Fiber" sheetId="23" r:id="rId11"/>
    <sheet name="PopProjections3" sheetId="24" r:id="rId12"/>
    <sheet name="PopProjections4" sheetId="25" r:id="rId13"/>
    <sheet name="Safety" sheetId="20" r:id="rId14"/>
    <sheet name="CapitalCosts " sheetId="12" r:id="rId15"/>
    <sheet name="O&amp;M_Costs" sheetId="22" r:id="rId16"/>
    <sheet name="Costs_Summary" sheetId="16" r:id="rId17"/>
    <sheet name="Alt. 1 Cost Estimate" sheetId="28" r:id="rId18"/>
    <sheet name="O&amp;M_AR_Costs" sheetId="15" r:id="rId19"/>
    <sheet name="Residual" sheetId="13" r:id="rId20"/>
    <sheet name="Deflator" sheetId="6" r:id="rId21"/>
    <sheet name="Auto-OperatingCostSavings" sheetId="17" state="hidden" r:id="rId22"/>
    <sheet name="PavementCostSavings" sheetId="18" state="hidden" r:id="rId23"/>
    <sheet name="CongestionCostSavings" sheetId="19" state="hidden" r:id="rId24"/>
    <sheet name="EmissionSavings" sheetId="7" state="hidden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A" localSheetId="10">#REF!</definedName>
    <definedName name="\A" localSheetId="15">#REF!</definedName>
    <definedName name="\A">#REF!</definedName>
    <definedName name="\B" localSheetId="15">#REF!</definedName>
    <definedName name="\B">#REF!</definedName>
    <definedName name="\p" localSheetId="15">#REF!</definedName>
    <definedName name="\p">#REF!</definedName>
    <definedName name="\S" localSheetId="15">#REF!</definedName>
    <definedName name="\S">#REF!</definedName>
    <definedName name="_____________________________ALL2">'[1]A-11a Balance Sheet Recons'!$B$11:$J$42</definedName>
    <definedName name="____________________________ALL2">'[1]A-11a Balance Sheet Recons'!$B$11:$J$42</definedName>
    <definedName name="___________________________ALL2">'[1]A-11a Balance Sheet Recons'!$B$11:$J$42</definedName>
    <definedName name="__________________________ALL2">'[1]A-11a Balance Sheet Recons'!$B$11:$J$42</definedName>
    <definedName name="_________________________ALL2">'[1]A-11a Balance Sheet Recons'!$B$11:$J$42</definedName>
    <definedName name="________________________ALL2">'[1]A-11a Balance Sheet Recons'!$B$11:$J$42</definedName>
    <definedName name="_______________________ALL2">'[1]A-11a Balance Sheet Recons'!$B$11:$J$42</definedName>
    <definedName name="______________________ALL2">'[1]A-11a Balance Sheet Recons'!$B$11:$J$42</definedName>
    <definedName name="_____________________ALL2">'[1]A-11a Balance Sheet Recons'!$B$11:$J$42</definedName>
    <definedName name="____________________ALL2">'[1]A-11a Balance Sheet Recons'!$B$11:$J$42</definedName>
    <definedName name="___________________ALL2">'[1]A-11a Balance Sheet Recons'!$B$11:$J$42</definedName>
    <definedName name="__________________ALL2">'[1]A-11a Balance Sheet Recons'!$B$11:$J$42</definedName>
    <definedName name="_________________ALL2">'[1]A-11a Balance Sheet Recons'!$B$11:$J$42</definedName>
    <definedName name="________________ALL2">'[1]A-11a Balance Sheet Recons'!$B$11:$J$42</definedName>
    <definedName name="_______________ALL2">'[1]A-11a Balance Sheet Recons'!$B$11:$J$42</definedName>
    <definedName name="______________ALL2">'[1]A-11a Balance Sheet Recons'!$B$11:$J$42</definedName>
    <definedName name="_____________ALL2">'[1]A-11a Balance Sheet Recons'!$B$11:$J$42</definedName>
    <definedName name="____________ALL2">'[1]A-11a Balance Sheet Recons'!$B$11:$J$42</definedName>
    <definedName name="____________RG1" localSheetId="10">#REF!</definedName>
    <definedName name="____________RG1" localSheetId="15">#REF!</definedName>
    <definedName name="____________RG1">#REF!</definedName>
    <definedName name="____________RG2" localSheetId="15">#REF!</definedName>
    <definedName name="____________RG2">#REF!</definedName>
    <definedName name="____________RG3" localSheetId="15">#REF!</definedName>
    <definedName name="____________RG3">#REF!</definedName>
    <definedName name="____________RG4" localSheetId="15">#REF!</definedName>
    <definedName name="____________RG4">#REF!</definedName>
    <definedName name="___________ALL2">'[1]A-11a Balance Sheet Recons'!$B$11:$J$42</definedName>
    <definedName name="___________RG1" localSheetId="10">#REF!</definedName>
    <definedName name="___________RG1" localSheetId="15">#REF!</definedName>
    <definedName name="___________RG1">#REF!</definedName>
    <definedName name="___________RG2" localSheetId="15">#REF!</definedName>
    <definedName name="___________RG2">#REF!</definedName>
    <definedName name="___________RG3" localSheetId="15">#REF!</definedName>
    <definedName name="___________RG3">#REF!</definedName>
    <definedName name="___________RG4" localSheetId="15">#REF!</definedName>
    <definedName name="___________RG4">#REF!</definedName>
    <definedName name="__________ALL2">'[1]A-11a Balance Sheet Recons'!$B$11:$J$42</definedName>
    <definedName name="__________RG1" localSheetId="10">#REF!</definedName>
    <definedName name="__________RG1" localSheetId="15">#REF!</definedName>
    <definedName name="__________RG1">#REF!</definedName>
    <definedName name="__________RG2" localSheetId="15">#REF!</definedName>
    <definedName name="__________RG2">#REF!</definedName>
    <definedName name="__________RG3" localSheetId="15">#REF!</definedName>
    <definedName name="__________RG3">#REF!</definedName>
    <definedName name="__________RG4" localSheetId="15">#REF!</definedName>
    <definedName name="__________RG4">#REF!</definedName>
    <definedName name="_________ALL2">'[1]A-11a Balance Sheet Recons'!$B$11:$J$42</definedName>
    <definedName name="_________RG1" localSheetId="10">#REF!</definedName>
    <definedName name="_________RG1" localSheetId="15">#REF!</definedName>
    <definedName name="_________RG1">#REF!</definedName>
    <definedName name="_________RG2" localSheetId="15">#REF!</definedName>
    <definedName name="_________RG2">#REF!</definedName>
    <definedName name="_________RG3" localSheetId="15">#REF!</definedName>
    <definedName name="_________RG3">#REF!</definedName>
    <definedName name="_________RG4" localSheetId="15">#REF!</definedName>
    <definedName name="_________RG4">#REF!</definedName>
    <definedName name="________ALL2">'[1]A-11a Balance Sheet Recons'!$B$11:$J$42</definedName>
    <definedName name="________RG1" localSheetId="10">#REF!</definedName>
    <definedName name="________RG1" localSheetId="15">#REF!</definedName>
    <definedName name="________RG1">#REF!</definedName>
    <definedName name="________RG2" localSheetId="15">#REF!</definedName>
    <definedName name="________RG2">#REF!</definedName>
    <definedName name="________RG3" localSheetId="15">#REF!</definedName>
    <definedName name="________RG3">#REF!</definedName>
    <definedName name="________RG4" localSheetId="15">#REF!</definedName>
    <definedName name="________RG4">#REF!</definedName>
    <definedName name="_______ALL2">'[1]A-11a Balance Sheet Recons'!$B$11:$J$42</definedName>
    <definedName name="_______RG1" localSheetId="10">#REF!</definedName>
    <definedName name="_______RG1" localSheetId="15">#REF!</definedName>
    <definedName name="_______RG1">#REF!</definedName>
    <definedName name="_______RG2" localSheetId="15">#REF!</definedName>
    <definedName name="_______RG2">#REF!</definedName>
    <definedName name="_______RG3" localSheetId="15">#REF!</definedName>
    <definedName name="_______RG3">#REF!</definedName>
    <definedName name="_______RG4" localSheetId="15">#REF!</definedName>
    <definedName name="_______RG4">#REF!</definedName>
    <definedName name="______ALL2">'[1]A-11a Balance Sheet Recons'!$B$11:$J$42</definedName>
    <definedName name="______RG1" localSheetId="10">#REF!</definedName>
    <definedName name="______RG1" localSheetId="15">#REF!</definedName>
    <definedName name="______RG1">#REF!</definedName>
    <definedName name="______RG2" localSheetId="15">#REF!</definedName>
    <definedName name="______RG2">#REF!</definedName>
    <definedName name="______RG3" localSheetId="15">#REF!</definedName>
    <definedName name="______RG3">#REF!</definedName>
    <definedName name="______RG4" localSheetId="15">#REF!</definedName>
    <definedName name="______RG4">#REF!</definedName>
    <definedName name="_____ALL2">'[1]A-11a Balance Sheet Recons'!$B$11:$J$42</definedName>
    <definedName name="_____RG1" localSheetId="10">#REF!</definedName>
    <definedName name="_____RG1" localSheetId="15">#REF!</definedName>
    <definedName name="_____RG1">#REF!</definedName>
    <definedName name="_____RG2" localSheetId="15">#REF!</definedName>
    <definedName name="_____RG2">#REF!</definedName>
    <definedName name="_____RG3" localSheetId="15">#REF!</definedName>
    <definedName name="_____RG3">#REF!</definedName>
    <definedName name="_____RG4" localSheetId="15">#REF!</definedName>
    <definedName name="_____RG4">#REF!</definedName>
    <definedName name="____ALL2">'[1]A-11a Balance Sheet Recons'!$B$11:$J$42</definedName>
    <definedName name="____RG1" localSheetId="10">#REF!</definedName>
    <definedName name="____RG1" localSheetId="15">#REF!</definedName>
    <definedName name="____RG1">#REF!</definedName>
    <definedName name="____RG2" localSheetId="15">#REF!</definedName>
    <definedName name="____RG2">#REF!</definedName>
    <definedName name="____RG3" localSheetId="15">#REF!</definedName>
    <definedName name="____RG3">#REF!</definedName>
    <definedName name="____RG4" localSheetId="15">#REF!</definedName>
    <definedName name="____RG4">#REF!</definedName>
    <definedName name="___ALL2">'[1]A-11a Balance Sheet Recons'!$B$11:$J$42</definedName>
    <definedName name="___RG1" localSheetId="10">#REF!</definedName>
    <definedName name="___RG1" localSheetId="15">#REF!</definedName>
    <definedName name="___RG1">#REF!</definedName>
    <definedName name="___RG2" localSheetId="15">#REF!</definedName>
    <definedName name="___RG2">#REF!</definedName>
    <definedName name="___RG3" localSheetId="15">#REF!</definedName>
    <definedName name="___RG3">#REF!</definedName>
    <definedName name="___RG4" localSheetId="15">#REF!</definedName>
    <definedName name="___RG4">#REF!</definedName>
    <definedName name="__ALL2">'[1]A-11a Balance Sheet Recons'!$B$11:$J$42</definedName>
    <definedName name="__RG1" localSheetId="10">#REF!</definedName>
    <definedName name="__RG1" localSheetId="15">#REF!</definedName>
    <definedName name="__RG1">#REF!</definedName>
    <definedName name="__RG2" localSheetId="15">#REF!</definedName>
    <definedName name="__RG2">#REF!</definedName>
    <definedName name="__RG3" localSheetId="15">#REF!</definedName>
    <definedName name="__RG3">#REF!</definedName>
    <definedName name="__RG4" localSheetId="15">#REF!</definedName>
    <definedName name="__RG4">#REF!</definedName>
    <definedName name="_12_MONTHS" localSheetId="15">#REF!</definedName>
    <definedName name="_12_MONTHS">#REF!</definedName>
    <definedName name="_12_PAGE_25MO" localSheetId="15">#REF!</definedName>
    <definedName name="_12_PAGE_25MO">#REF!</definedName>
    <definedName name="_ALL2">'[1]A-11a Balance Sheet Recons'!$B$11:$J$42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13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OW1" localSheetId="15">#REF!</definedName>
    <definedName name="_COW1">#REF!</definedName>
    <definedName name="_COW2" localSheetId="15">#REF!</definedName>
    <definedName name="_COW2">#REF!</definedName>
    <definedName name="_Fill" localSheetId="15" hidden="1">#REF!</definedName>
    <definedName name="_Fill" hidden="1">#REF!</definedName>
    <definedName name="_Key1" localSheetId="10" hidden="1">'[2]Journal Entry'!#REF!</definedName>
    <definedName name="_Key1" localSheetId="15" hidden="1">'[3]Journal Entry'!#REF!</definedName>
    <definedName name="_Key1" hidden="1">'[3]Journal Entry'!#REF!</definedName>
    <definedName name="_Key2" localSheetId="10" hidden="1">'[2]Journal Entry'!#REF!</definedName>
    <definedName name="_Key2" localSheetId="15" hidden="1">'[3]Journal Entry'!#REF!</definedName>
    <definedName name="_Key2" hidden="1">'[3]Journal Entry'!#REF!</definedName>
    <definedName name="_Order1" hidden="1">255</definedName>
    <definedName name="_Order2" hidden="1">255</definedName>
    <definedName name="_ppp1" localSheetId="10">#REF!</definedName>
    <definedName name="_ppp1" localSheetId="15">#REF!</definedName>
    <definedName name="_ppp1">#REF!</definedName>
    <definedName name="_ppp2" localSheetId="15">#REF!</definedName>
    <definedName name="_ppp2">#REF!</definedName>
    <definedName name="_ppp3" localSheetId="15">#REF!</definedName>
    <definedName name="_ppp3">#REF!</definedName>
    <definedName name="_RG1" localSheetId="15">#REF!</definedName>
    <definedName name="_RG1">#REF!</definedName>
    <definedName name="_RG2" localSheetId="15">#REF!</definedName>
    <definedName name="_RG2">#REF!</definedName>
    <definedName name="_RG3" localSheetId="15">#REF!</definedName>
    <definedName name="_RG3">#REF!</definedName>
    <definedName name="_RG4" localSheetId="15">#REF!</definedName>
    <definedName name="_RG4">#REF!</definedName>
    <definedName name="_ST1" localSheetId="15">#REF!</definedName>
    <definedName name="_ST1">#REF!</definedName>
    <definedName name="_ST2" localSheetId="15">#REF!</definedName>
    <definedName name="_ST2">#REF!</definedName>
    <definedName name="_SUB1" localSheetId="15">#REF!</definedName>
    <definedName name="_SUB1">#REF!</definedName>
    <definedName name="_SUB2" localSheetId="15">#REF!</definedName>
    <definedName name="_SUB2">#REF!</definedName>
    <definedName name="_SUB3" localSheetId="15">#REF!</definedName>
    <definedName name="_SUB3">#REF!</definedName>
    <definedName name="_SUB4" localSheetId="15">#REF!</definedName>
    <definedName name="_SUB4">#REF!</definedName>
    <definedName name="_SUB5" localSheetId="15">#REF!</definedName>
    <definedName name="_SUB5">#REF!</definedName>
    <definedName name="_SUB6" localSheetId="15">#REF!</definedName>
    <definedName name="_SUB6">#REF!</definedName>
    <definedName name="_SUB8" localSheetId="15">#REF!</definedName>
    <definedName name="_SUB8">#REF!</definedName>
    <definedName name="_SW1" localSheetId="15">#REF!</definedName>
    <definedName name="_SW1">#REF!</definedName>
    <definedName name="_SW2" localSheetId="15">#REF!</definedName>
    <definedName name="_SW2">#REF!</definedName>
    <definedName name="_TRY2">#REF!</definedName>
    <definedName name="_try3">#REF!</definedName>
    <definedName name="_try4">#REF!</definedName>
    <definedName name="_TRY6">#REF!</definedName>
    <definedName name="_try8">#REF!</definedName>
    <definedName name="AADTGrowth" localSheetId="10">[4]Assumptions!$C$3</definedName>
    <definedName name="AADTGrowth">[5]Assumptions!$C$3</definedName>
    <definedName name="ABBREV_DATE" localSheetId="10">#REF!</definedName>
    <definedName name="ABBREV_DATE" localSheetId="15">#REF!</definedName>
    <definedName name="ABBREV_DATE">#REF!</definedName>
    <definedName name="abc">#REF!</definedName>
    <definedName name="adb">#REF!</definedName>
    <definedName name="Adds" localSheetId="15">#REF!</definedName>
    <definedName name="Adds">#REF!</definedName>
    <definedName name="AFD">#REF!</definedName>
    <definedName name="AnsCoEstFacSz" localSheetId="15">[6]Inputs!#REF!</definedName>
    <definedName name="AnsCoEstFacSz">[6]Inputs!#REF!</definedName>
    <definedName name="asp">#REF!</definedName>
    <definedName name="ASSIGN" localSheetId="10">#REF!</definedName>
    <definedName name="ASSIGN" localSheetId="15">#REF!</definedName>
    <definedName name="ASSIGN">#REF!</definedName>
    <definedName name="B_4" localSheetId="15">#REF!</definedName>
    <definedName name="B_4">#REF!</definedName>
    <definedName name="B_5" localSheetId="15">#REF!</definedName>
    <definedName name="B_5">#REF!</definedName>
    <definedName name="BEGINNING" localSheetId="15">#REF!</definedName>
    <definedName name="BEGINNING">#REF!</definedName>
    <definedName name="BEx3O85IKWARA6NCJOLRBRJFMEWW" localSheetId="15" hidden="1">'[7]Q2 09 Rail BS Leads'!#REF!</definedName>
    <definedName name="BEx3O85IKWARA6NCJOLRBRJFMEWW" hidden="1">'[7]Q2 09 Rail BS Leads'!#REF!</definedName>
    <definedName name="BEx5MLQZM68YQSKARVWTTPINFQ2C" localSheetId="15" hidden="1">'[7]Q2 09 Rail BS Leads'!#REF!</definedName>
    <definedName name="BEx5MLQZM68YQSKARVWTTPINFQ2C" hidden="1">'[7]Q2 09 Rail BS Leads'!#REF!</definedName>
    <definedName name="BExERWCEBKQRYWRQLYJ4UCMMKTHG" localSheetId="15" hidden="1">'[7]Q2 09 Rail BS Leads'!#REF!</definedName>
    <definedName name="BExERWCEBKQRYWRQLYJ4UCMMKTHG" hidden="1">'[7]Q2 09 Rail BS Leads'!#REF!</definedName>
    <definedName name="BExMBYPQDG9AYDQ5E8IECVFREPO6" localSheetId="15" hidden="1">'[7]Q2 09 Rail BS Leads'!#REF!</definedName>
    <definedName name="BExMBYPQDG9AYDQ5E8IECVFREPO6" hidden="1">'[7]Q2 09 Rail BS Leads'!#REF!</definedName>
    <definedName name="BExQ9ZLYHWABXAA9NJDW8ZS0UQ9P" localSheetId="15" hidden="1">'[7]Q2 09 Rail BS Leads'!#REF!</definedName>
    <definedName name="BExQ9ZLYHWABXAA9NJDW8ZS0UQ9P" hidden="1">'[7]Q2 09 Rail BS Leads'!#REF!</definedName>
    <definedName name="BExTUY9WNSJ91GV8CP0SKJTEIV82" localSheetId="15" hidden="1">'[7]Q2 09 Rail BS Leads'!#REF!</definedName>
    <definedName name="BExTUY9WNSJ91GV8CP0SKJTEIV82" hidden="1">'[7]Q2 09 Rail BS Leads'!#REF!</definedName>
    <definedName name="bob" localSheetId="15">#REF!</definedName>
    <definedName name="bob">#REF!</definedName>
    <definedName name="BS_98" localSheetId="15">#REF!</definedName>
    <definedName name="BS_98">#REF!</definedName>
    <definedName name="BS_99" localSheetId="15">#REF!</definedName>
    <definedName name="BS_99">#REF!</definedName>
    <definedName name="BS_SUM_25MO" localSheetId="15">#REF!</definedName>
    <definedName name="BS_SUM_25MO">#REF!</definedName>
    <definedName name="BS_SUM_98" localSheetId="15">#REF!</definedName>
    <definedName name="BS_SUM_98">#REF!</definedName>
    <definedName name="BS_SUM_99" localSheetId="15">#REF!</definedName>
    <definedName name="BS_SUM_99">#REF!</definedName>
    <definedName name="CBS" localSheetId="15">#REF!</definedName>
    <definedName name="CBS">#REF!</definedName>
    <definedName name="COLE" localSheetId="15">#REF!</definedName>
    <definedName name="COLE">#REF!</definedName>
    <definedName name="COMBO_EW">#REF!</definedName>
    <definedName name="CRAP">#REF!</definedName>
    <definedName name="crap2">#REF!</definedName>
    <definedName name="_xlnm.Criteria" localSheetId="15">#REF!</definedName>
    <definedName name="_xlnm.Criteria">#REF!</definedName>
    <definedName name="CURRENT_DATE" localSheetId="15">#REF!</definedName>
    <definedName name="CURRENT_DATE">#REF!</definedName>
    <definedName name="Current_Fiscal_Year">[8]Inputs!$C$5</definedName>
    <definedName name="DATA" localSheetId="15">#REF!</definedName>
    <definedName name="DATA">#REF!</definedName>
    <definedName name="_xlnm.Database" localSheetId="15">#REF!</definedName>
    <definedName name="_xlnm.Database">#REF!</definedName>
    <definedName name="DecComICC" localSheetId="15">#REF!</definedName>
    <definedName name="DecComICC">#REF!</definedName>
    <definedName name="DecComInstall" localSheetId="15">#REF!</definedName>
    <definedName name="DecComInstall">#REF!</definedName>
    <definedName name="Detail" localSheetId="15">#REF!</definedName>
    <definedName name="Detail">#REF!</definedName>
    <definedName name="DISC_RATE" localSheetId="10">[4]Assumptions!$C$5</definedName>
    <definedName name="DISC_RATE">[5]Assumptions!$C$5</definedName>
    <definedName name="ee">#REF!</definedName>
    <definedName name="ENDING" localSheetId="10">#REF!</definedName>
    <definedName name="ENDING" localSheetId="15">#REF!</definedName>
    <definedName name="ENDING">#REF!</definedName>
    <definedName name="EPR" localSheetId="15">#REF!</definedName>
    <definedName name="EPR">#REF!</definedName>
    <definedName name="_xlnm.Extract" localSheetId="15">#REF!</definedName>
    <definedName name="_xlnm.Extract">#REF!</definedName>
    <definedName name="formula" localSheetId="15">#REF!</definedName>
    <definedName name="formula">#REF!</definedName>
    <definedName name="furbase" localSheetId="15">#REF!</definedName>
    <definedName name="furbase">#REF!</definedName>
    <definedName name="FURN" localSheetId="15">#REF!</definedName>
    <definedName name="FURN">#REF!</definedName>
    <definedName name="furnish" localSheetId="15">#REF!</definedName>
    <definedName name="furnish">#REF!</definedName>
    <definedName name="furnmat" localSheetId="15">#REF!</definedName>
    <definedName name="furnmat">#REF!</definedName>
    <definedName name="GENERAL" localSheetId="15">#REF!</definedName>
    <definedName name="GENERAL">#REF!</definedName>
    <definedName name="GG">#REF!</definedName>
    <definedName name="GGG">#REF!</definedName>
    <definedName name="ICCConv" localSheetId="10">'[9]ICC Conversion'!$A$1:$B$191</definedName>
    <definedName name="ICCConv">'[10]ICC Conversion'!$A$1:$B$191</definedName>
    <definedName name="IMPORT" localSheetId="10">#REF!</definedName>
    <definedName name="IMPORT" localSheetId="15">#REF!</definedName>
    <definedName name="IMPORT">#REF!</definedName>
    <definedName name="Inflation_Percentages">[8]Inputs!$C$32:$C$81</definedName>
    <definedName name="Inflation_Years">[8]Inputs!$B$32:$B$81</definedName>
    <definedName name="infor" localSheetId="15">#REF!</definedName>
    <definedName name="infor">#REF!</definedName>
    <definedName name="item" localSheetId="15">#REF!</definedName>
    <definedName name="item">#REF!</definedName>
    <definedName name="k7." localSheetId="15">#REF!</definedName>
    <definedName name="k7.">#REF!</definedName>
    <definedName name="kjh">#REF!</definedName>
    <definedName name="LEADS" localSheetId="15">#REF!</definedName>
    <definedName name="LEADS">#REF!</definedName>
    <definedName name="LEADS_25MO" localSheetId="15">#REF!</definedName>
    <definedName name="LEADS_25MO">#REF!</definedName>
    <definedName name="LEADS_98" localSheetId="15">#REF!</definedName>
    <definedName name="LEADS_98">#REF!</definedName>
    <definedName name="LEADS_99" localSheetId="15">#REF!</definedName>
    <definedName name="LEADS_99">#REF!</definedName>
    <definedName name="LOLD">1</definedName>
    <definedName name="LOLD_Table">7</definedName>
    <definedName name="mike" localSheetId="10">#REF!</definedName>
    <definedName name="mike" localSheetId="15">#REF!</definedName>
    <definedName name="mike">#REF!</definedName>
    <definedName name="mobil1" localSheetId="15">#REF!</definedName>
    <definedName name="mobil1">#REF!</definedName>
    <definedName name="NC_Counties">[11]County!$A$3:$A$102</definedName>
    <definedName name="NEXT" localSheetId="15">#REF!</definedName>
    <definedName name="NEXT">#REF!</definedName>
    <definedName name="Normal" localSheetId="15">#REF!</definedName>
    <definedName name="Normal">#REF!</definedName>
    <definedName name="number" localSheetId="15">#REF!</definedName>
    <definedName name="number">#REF!</definedName>
    <definedName name="OPER1" localSheetId="15">#REF!</definedName>
    <definedName name="OPER1">#REF!</definedName>
    <definedName name="OPER2" localSheetId="15">#REF!</definedName>
    <definedName name="OPER2">#REF!</definedName>
    <definedName name="PAGE_33" localSheetId="15">#REF!</definedName>
    <definedName name="PAGE_33">#REF!</definedName>
    <definedName name="PAGE1" localSheetId="15">#REF!</definedName>
    <definedName name="PAGE1">#REF!</definedName>
    <definedName name="PAGE2" localSheetId="15">#REF!</definedName>
    <definedName name="PAGE2">#REF!</definedName>
    <definedName name="PAGE32" localSheetId="15">#REF!</definedName>
    <definedName name="PAGE32">#REF!</definedName>
    <definedName name="PAGE37" localSheetId="15">#REF!</definedName>
    <definedName name="PAGE37">#REF!</definedName>
    <definedName name="PART_B" localSheetId="15">#REF!</definedName>
    <definedName name="PART_B">#REF!</definedName>
    <definedName name="PARTA" localSheetId="15">#REF!</definedName>
    <definedName name="PARTA">#REF!</definedName>
    <definedName name="PAY_LIST">#REF!</definedName>
    <definedName name="PISNU" localSheetId="15">#REF!</definedName>
    <definedName name="PISNU">#REF!</definedName>
    <definedName name="PMPeakDirection">'[12]Quadrant (AM_PM)'!$N$78:$N$79</definedName>
    <definedName name="ppp" localSheetId="15">#REF!</definedName>
    <definedName name="ppp">#REF!</definedName>
    <definedName name="price" localSheetId="15">#REF!</definedName>
    <definedName name="price">#REF!</definedName>
    <definedName name="PRINT_ALL" localSheetId="15">#REF!</definedName>
    <definedName name="PRINT_ALL">#REF!</definedName>
    <definedName name="_xlnm.Print_Area" localSheetId="17">'Alt. 1 Cost Estimate'!$A$3:$H$115</definedName>
    <definedName name="_xlnm.Print_Area">#REF!</definedName>
    <definedName name="PRINT_AREA_MI" localSheetId="15">#REF!</definedName>
    <definedName name="PRINT_AREA_MI">#REF!</definedName>
    <definedName name="PRINT_CF_9899" localSheetId="15">#REF!</definedName>
    <definedName name="PRINT_CF_9899">#REF!</definedName>
    <definedName name="PRINT_DIFF" localSheetId="15">#REF!</definedName>
    <definedName name="PRINT_DIFF">#REF!</definedName>
    <definedName name="_xlnm.Print_Titles">#N/A</definedName>
    <definedName name="Print_Titles_MI" localSheetId="10">'[13]PA Run Off'!$A$1:$IV$10,'[13]PA Run Off'!$A$1:$A$16384</definedName>
    <definedName name="Print_Titles_MI">'[14]PA Run Off'!$A$1:$IV$10,'[14]PA Run Off'!$A$1:$A$16384</definedName>
    <definedName name="PRT_12_PAGE_25M" localSheetId="10">#REF!</definedName>
    <definedName name="PRT_12_PAGE_25M" localSheetId="15">#REF!</definedName>
    <definedName name="PRT_12_PAGE_25M">#REF!</definedName>
    <definedName name="PRT_98_WCRECON" localSheetId="15">#REF!</definedName>
    <definedName name="PRT_98_WCRECON">#REF!</definedName>
    <definedName name="PRT_99_WCRECON" localSheetId="15">#REF!</definedName>
    <definedName name="PRT_99_WCRECON">#REF!</definedName>
    <definedName name="PRT_BS_98" localSheetId="15">#REF!</definedName>
    <definedName name="PRT_BS_98">#REF!</definedName>
    <definedName name="PRT_BS_99" localSheetId="15">#REF!</definedName>
    <definedName name="PRT_BS_99">#REF!</definedName>
    <definedName name="PRT_BS_SUM_25MO" localSheetId="15">#REF!</definedName>
    <definedName name="PRT_BS_SUM_25MO">#REF!</definedName>
    <definedName name="PRT_BSSUM_98" localSheetId="15">#REF!</definedName>
    <definedName name="PRT_BSSUM_98">#REF!</definedName>
    <definedName name="PRT_BSSUM_99" localSheetId="15">#REF!</definedName>
    <definedName name="PRT_BSSUM_99">#REF!</definedName>
    <definedName name="PRT_CF_1998" localSheetId="15">#REF!</definedName>
    <definedName name="PRT_CF_1998">#REF!</definedName>
    <definedName name="PRT_CF_1999" localSheetId="15">#REF!</definedName>
    <definedName name="PRT_CF_1999">#REF!</definedName>
    <definedName name="PRT_CURR_MO" localSheetId="15">#REF!</definedName>
    <definedName name="PRT_CURR_MO">#REF!</definedName>
    <definedName name="PRT_LEAD_25MO" localSheetId="15">#REF!</definedName>
    <definedName name="PRT_LEAD_25MO">#REF!</definedName>
    <definedName name="PRT_LEAD_ACT_98" localSheetId="15">#REF!</definedName>
    <definedName name="PRT_LEAD_ACT_98">#REF!</definedName>
    <definedName name="PRT_LEAD_PLN_99" localSheetId="15">#REF!</definedName>
    <definedName name="PRT_LEAD_PLN_99">#REF!</definedName>
    <definedName name="PRT_NCA_98" localSheetId="15">#REF!</definedName>
    <definedName name="PRT_NCA_98">#REF!</definedName>
    <definedName name="PRT_NCA_99" localSheetId="15">#REF!</definedName>
    <definedName name="PRT_NCA_99">#REF!</definedName>
    <definedName name="PRT_QUARTER" localSheetId="15">#REF!</definedName>
    <definedName name="PRT_QUARTER">#REF!</definedName>
    <definedName name="Q1_VS_PLAN" localSheetId="15">#REF!</definedName>
    <definedName name="Q1_VS_PLAN">#REF!</definedName>
    <definedName name="Q2_VS_PLAN" localSheetId="15">#REF!</definedName>
    <definedName name="Q2_VS_PLAN">#REF!</definedName>
    <definedName name="Q3_VS_PLAN" localSheetId="15">#REF!</definedName>
    <definedName name="Q3_VS_PLAN">#REF!</definedName>
    <definedName name="Q4_VS_PLAN" localSheetId="15">#REF!</definedName>
    <definedName name="Q4_VS_PLAN">#REF!</definedName>
    <definedName name="qty" localSheetId="15">#REF!</definedName>
    <definedName name="qty">#REF!</definedName>
    <definedName name="Rate" localSheetId="10">[15]LocoRate!$L$2:$P$4</definedName>
    <definedName name="Rate">[16]LocoRate!$L$2:$P$4</definedName>
    <definedName name="Rates">'[17]Rate file'!$A$6:$F$1250</definedName>
    <definedName name="RETIREMENTS" localSheetId="10">#REF!</definedName>
    <definedName name="RETIREMENTS" localSheetId="15">#REF!</definedName>
    <definedName name="RETIREMENTS">#REF!</definedName>
    <definedName name="Retires" localSheetId="15">#REF!</definedName>
    <definedName name="Retires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TRUE</definedName>
    <definedName name="RiskMonitorConvergence" hidden="1">TRUE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ROSNU" localSheetId="10">#REF!</definedName>
    <definedName name="ROSNU" localSheetId="15">#REF!</definedName>
    <definedName name="ROSNU">#REF!</definedName>
    <definedName name="rr">#REF!</definedName>
    <definedName name="rrr">#REF!</definedName>
    <definedName name="SAPBEXhrIndnt" hidden="1">"Wide"</definedName>
    <definedName name="SAPsysID" hidden="1">"708C5W7SBKP804JT78WJ0JNKI"</definedName>
    <definedName name="SAPwbID" hidden="1">"ARS"</definedName>
    <definedName name="SB_5_B_" localSheetId="10">#REF!</definedName>
    <definedName name="SB_5_B_" localSheetId="15">#REF!</definedName>
    <definedName name="SB_5_B_">#REF!</definedName>
    <definedName name="SEC_12R1" localSheetId="15">#REF!</definedName>
    <definedName name="SEC_12R1">#REF!</definedName>
    <definedName name="SEC_12R2" localSheetId="15">#REF!</definedName>
    <definedName name="SEC_12R2">#REF!</definedName>
    <definedName name="SEC_12S" localSheetId="15">#REF!</definedName>
    <definedName name="SEC_12S">#REF!</definedName>
    <definedName name="SEC_13T1" localSheetId="15">#REF!</definedName>
    <definedName name="SEC_13T1">#REF!</definedName>
    <definedName name="SEC_13T2" localSheetId="15">#REF!</definedName>
    <definedName name="SEC_13T2">#REF!</definedName>
    <definedName name="SEC_13T2D" localSheetId="15">#REF!</definedName>
    <definedName name="SEC_13T2D">#REF!</definedName>
    <definedName name="SEC_5E" localSheetId="15">#REF!</definedName>
    <definedName name="SEC_5E">#REF!</definedName>
    <definedName name="SEC_5F" localSheetId="15">#REF!</definedName>
    <definedName name="SEC_5F">#REF!</definedName>
    <definedName name="SEC_5G" localSheetId="15">#REF!</definedName>
    <definedName name="SEC_5G">#REF!</definedName>
    <definedName name="SEC_6H" localSheetId="15">#REF!</definedName>
    <definedName name="SEC_6H">#REF!</definedName>
    <definedName name="SEC_6H7" localSheetId="15">#REF!</definedName>
    <definedName name="SEC_6H7">#REF!</definedName>
    <definedName name="SEC_7I1" localSheetId="15">#REF!</definedName>
    <definedName name="SEC_7I1">#REF!</definedName>
    <definedName name="SEC_7I2" localSheetId="15">#REF!</definedName>
    <definedName name="SEC_7I2">#REF!</definedName>
    <definedName name="SEC_7I3" localSheetId="15">#REF!</definedName>
    <definedName name="SEC_7I3">#REF!</definedName>
    <definedName name="SEC_7I4" localSheetId="15">#REF!</definedName>
    <definedName name="SEC_7I4">#REF!</definedName>
    <definedName name="SEC_7I5" localSheetId="15">#REF!</definedName>
    <definedName name="SEC_7I5">#REF!</definedName>
    <definedName name="SEC_7I6" localSheetId="15">#REF!</definedName>
    <definedName name="SEC_7I6">#REF!</definedName>
    <definedName name="SEC_7I7" localSheetId="15">#REF!</definedName>
    <definedName name="SEC_7I7">#REF!</definedName>
    <definedName name="SEC_7I8" localSheetId="15">#REF!</definedName>
    <definedName name="SEC_7I8">#REF!</definedName>
    <definedName name="SEC_8J1" localSheetId="15">#REF!</definedName>
    <definedName name="SEC_8J1">#REF!</definedName>
    <definedName name="SEC_8J2" localSheetId="15">#REF!</definedName>
    <definedName name="SEC_8J2">#REF!</definedName>
    <definedName name="SEC_8K" localSheetId="15">#REF!</definedName>
    <definedName name="SEC_8K">#REF!</definedName>
    <definedName name="SEC_8L" localSheetId="15">#REF!</definedName>
    <definedName name="SEC_8L">#REF!</definedName>
    <definedName name="select" localSheetId="15">#REF!</definedName>
    <definedName name="select">#REF!</definedName>
    <definedName name="Sheet">#REF!</definedName>
    <definedName name="SHEET_CHOICE" localSheetId="15">#REF!</definedName>
    <definedName name="SHEET_CHOICE">#REF!</definedName>
    <definedName name="SHEET1" localSheetId="15">#REF!</definedName>
    <definedName name="SHEET1">#REF!</definedName>
    <definedName name="SHEET2" localSheetId="15">#REF!</definedName>
    <definedName name="SHEET2">#REF!</definedName>
    <definedName name="SHEET3" localSheetId="15">#REF!</definedName>
    <definedName name="SHEET3">#REF!</definedName>
    <definedName name="SHEET4" localSheetId="15">#REF!</definedName>
    <definedName name="SHEET4">#REF!</definedName>
    <definedName name="SHEET5A" localSheetId="15">#REF!</definedName>
    <definedName name="SHEET5A">#REF!</definedName>
    <definedName name="SHEET5B" localSheetId="15">#REF!</definedName>
    <definedName name="SHEET5B">#REF!</definedName>
    <definedName name="SHEET5C" localSheetId="15">#REF!</definedName>
    <definedName name="SHEET5C">#REF!</definedName>
    <definedName name="SHEET5D" localSheetId="15">#REF!</definedName>
    <definedName name="SHEET5D">#REF!</definedName>
    <definedName name="SHEET6" localSheetId="15">#REF!</definedName>
    <definedName name="SHEET6">#REF!</definedName>
    <definedName name="Spanner_Auto_File">"T:\139407\NDM\ROR\DRAWING\des_road.x2a"</definedName>
    <definedName name="Spanner_Auto_Select">#REF!</definedName>
    <definedName name="SSS">#REF!</definedName>
    <definedName name="Starting_Fiscal_Year">[8]Inputs!$C$6</definedName>
    <definedName name="sub">#REF!</definedName>
    <definedName name="SUB7L" localSheetId="15">#REF!</definedName>
    <definedName name="SUB7L">#REF!</definedName>
    <definedName name="supp" localSheetId="15">#REF!</definedName>
    <definedName name="supp">#REF!</definedName>
    <definedName name="suppbase" localSheetId="15">#REF!</definedName>
    <definedName name="suppbase">#REF!</definedName>
    <definedName name="SUPPL" localSheetId="15">#REF!</definedName>
    <definedName name="SUPPL">#REF!</definedName>
    <definedName name="supplem" localSheetId="15">#REF!</definedName>
    <definedName name="supplem">#REF!</definedName>
    <definedName name="T">#REF!</definedName>
    <definedName name="TITLE" localSheetId="15">#REF!</definedName>
    <definedName name="TITLE">#REF!</definedName>
    <definedName name="TOTAL" localSheetId="15">#REF!</definedName>
    <definedName name="TOTAL">#REF!</definedName>
    <definedName name="TRY">#REF!</definedName>
    <definedName name="ttt">#REF!</definedName>
    <definedName name="ttu">#REF!</definedName>
    <definedName name="tty">#REF!</definedName>
    <definedName name="Typ" localSheetId="15">#REF!</definedName>
    <definedName name="Typ">#REF!</definedName>
    <definedName name="Type" localSheetId="15">#REF!</definedName>
    <definedName name="Type">#REF!</definedName>
    <definedName name="UPDATE" localSheetId="15">#REF!</definedName>
    <definedName name="UPDATE">#REF!</definedName>
    <definedName name="VEH_OCC" localSheetId="10">[4]Assumptions!$C$6</definedName>
    <definedName name="VEH_OCC">[5]Assumptions!$C$6</definedName>
    <definedName name="Version" localSheetId="10">#REF!</definedName>
    <definedName name="Version" localSheetId="15">#REF!</definedName>
    <definedName name="Version">#REF!</definedName>
    <definedName name="XXX">#REF!</definedName>
    <definedName name="xxx1" localSheetId="15">#REF!</definedName>
    <definedName name="xxx1">#REF!</definedName>
    <definedName name="YTD" localSheetId="15">#REF!</definedName>
    <definedName name="YTD">#REF!</definedName>
    <definedName name="zzz1" localSheetId="15">#REF!</definedName>
    <definedName name="zzz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6" l="1"/>
  <c r="C58" i="13" s="1"/>
  <c r="D11" i="16" l="1"/>
  <c r="H125" i="28"/>
  <c r="H124" i="28"/>
  <c r="G104" i="28"/>
  <c r="H104" i="28" s="1"/>
  <c r="G103" i="28"/>
  <c r="H103" i="28" s="1"/>
  <c r="G102" i="28"/>
  <c r="H102" i="28" s="1"/>
  <c r="G101" i="28"/>
  <c r="H101" i="28" s="1"/>
  <c r="G100" i="28"/>
  <c r="H100" i="28" s="1"/>
  <c r="G99" i="28"/>
  <c r="H99" i="28" s="1"/>
  <c r="G98" i="28"/>
  <c r="H98" i="28" s="1"/>
  <c r="G97" i="28"/>
  <c r="H97" i="28" s="1"/>
  <c r="G96" i="28"/>
  <c r="H96" i="28" s="1"/>
  <c r="G95" i="28"/>
  <c r="H95" i="28" s="1"/>
  <c r="G94" i="28"/>
  <c r="H94" i="28" s="1"/>
  <c r="G93" i="28"/>
  <c r="H93" i="28" s="1"/>
  <c r="G92" i="28"/>
  <c r="H92" i="28" s="1"/>
  <c r="H89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H66" i="28"/>
  <c r="H65" i="28"/>
  <c r="H64" i="28"/>
  <c r="H63" i="28"/>
  <c r="H62" i="28"/>
  <c r="H61" i="28"/>
  <c r="H58" i="28"/>
  <c r="H56" i="28"/>
  <c r="H54" i="28"/>
  <c r="H53" i="28"/>
  <c r="H52" i="28"/>
  <c r="H51" i="28"/>
  <c r="H50" i="28"/>
  <c r="H48" i="28"/>
  <c r="H46" i="28"/>
  <c r="H45" i="28"/>
  <c r="H44" i="28"/>
  <c r="H43" i="28"/>
  <c r="H42" i="28"/>
  <c r="H41" i="28"/>
  <c r="H40" i="28"/>
  <c r="H39" i="28"/>
  <c r="H37" i="28"/>
  <c r="J35" i="28"/>
  <c r="G35" i="28"/>
  <c r="H35" i="28" s="1"/>
  <c r="J34" i="28"/>
  <c r="G34" i="28"/>
  <c r="H34" i="28" s="1"/>
  <c r="J33" i="28"/>
  <c r="G33" i="28"/>
  <c r="H33" i="28" s="1"/>
  <c r="H30" i="28"/>
  <c r="H29" i="28"/>
  <c r="H28" i="28"/>
  <c r="H27" i="28"/>
  <c r="H26" i="28"/>
  <c r="H23" i="28"/>
  <c r="H21" i="28"/>
  <c r="H19" i="28"/>
  <c r="H17" i="28"/>
  <c r="H15" i="28"/>
  <c r="H14" i="28"/>
  <c r="H12" i="28"/>
  <c r="J111" i="28" l="1"/>
  <c r="J112" i="28" l="1"/>
  <c r="H113" i="28" s="1"/>
  <c r="H111" i="28"/>
  <c r="H120" i="28" s="1"/>
  <c r="H112" i="28" l="1"/>
  <c r="H119" i="28" s="1"/>
  <c r="H115" i="28"/>
  <c r="D12" i="16" l="1"/>
  <c r="H122" i="28"/>
  <c r="H126" i="28" s="1"/>
  <c r="H5" i="28"/>
  <c r="H114" i="28"/>
  <c r="H127" i="28" l="1"/>
  <c r="H136" i="28"/>
  <c r="H134" i="28"/>
  <c r="H133" i="28"/>
  <c r="H132" i="28"/>
  <c r="D13" i="16" l="1"/>
  <c r="L4" i="31" l="1"/>
  <c r="L6" i="31" s="1"/>
  <c r="C7" i="31" s="1"/>
  <c r="AR12" i="29" l="1"/>
  <c r="AO12" i="29"/>
  <c r="AH12" i="29"/>
  <c r="AE12" i="29"/>
  <c r="AQ8" i="29"/>
  <c r="AG8" i="29"/>
  <c r="AX6" i="29"/>
  <c r="D32" i="16"/>
  <c r="B18" i="33" l="1"/>
  <c r="A18" i="33" s="1"/>
  <c r="D18" i="33" s="1"/>
  <c r="E18" i="33" s="1"/>
  <c r="A17" i="33"/>
  <c r="G15" i="33"/>
  <c r="F15" i="33"/>
  <c r="C12" i="33"/>
  <c r="C7" i="33"/>
  <c r="C6" i="33"/>
  <c r="C5" i="33"/>
  <c r="B19" i="33" l="1"/>
  <c r="AH20" i="29"/>
  <c r="AH21" i="29" s="1"/>
  <c r="AH23" i="29" s="1"/>
  <c r="G18" i="33"/>
  <c r="F18" i="33"/>
  <c r="F17" i="33"/>
  <c r="G17" i="33"/>
  <c r="AH24" i="29" l="1"/>
  <c r="F6" i="29" s="1"/>
  <c r="E6" i="29"/>
  <c r="E27" i="29"/>
  <c r="B20" i="33"/>
  <c r="A19" i="33"/>
  <c r="D19" i="33" s="1"/>
  <c r="E19" i="33" s="1"/>
  <c r="F19" i="33" s="1"/>
  <c r="G19" i="33" l="1"/>
  <c r="A20" i="33"/>
  <c r="D20" i="33" s="1"/>
  <c r="E20" i="33" s="1"/>
  <c r="F20" i="33" s="1"/>
  <c r="B21" i="33"/>
  <c r="G20" i="33" l="1"/>
  <c r="A21" i="33"/>
  <c r="D21" i="33" s="1"/>
  <c r="E21" i="33" s="1"/>
  <c r="G21" i="33" s="1"/>
  <c r="B22" i="33"/>
  <c r="F21" i="33" l="1"/>
  <c r="A22" i="33"/>
  <c r="D22" i="33" s="1"/>
  <c r="E22" i="33" s="1"/>
  <c r="F22" i="33" s="1"/>
  <c r="B23" i="33"/>
  <c r="G22" i="33" l="1"/>
  <c r="A23" i="33"/>
  <c r="D23" i="33" s="1"/>
  <c r="E23" i="33" s="1"/>
  <c r="G23" i="33" s="1"/>
  <c r="B24" i="33"/>
  <c r="F23" i="33" l="1"/>
  <c r="A24" i="33"/>
  <c r="D24" i="33" s="1"/>
  <c r="E24" i="33" s="1"/>
  <c r="G24" i="33" s="1"/>
  <c r="B25" i="33"/>
  <c r="F24" i="33" l="1"/>
  <c r="B26" i="33"/>
  <c r="A25" i="33"/>
  <c r="W30" i="26"/>
  <c r="AA30" i="26"/>
  <c r="A26" i="33" l="1"/>
  <c r="B27" i="33"/>
  <c r="C6" i="31"/>
  <c r="B15" i="31"/>
  <c r="B16" i="31" s="1"/>
  <c r="B14" i="31"/>
  <c r="A14" i="31"/>
  <c r="D14" i="31" s="1"/>
  <c r="G13" i="31"/>
  <c r="A13" i="31"/>
  <c r="I11" i="31"/>
  <c r="H11" i="31"/>
  <c r="C8" i="31"/>
  <c r="C5" i="31"/>
  <c r="F27" i="29"/>
  <c r="H13" i="31" l="1"/>
  <c r="I13" i="31"/>
  <c r="B28" i="33"/>
  <c r="A27" i="33"/>
  <c r="F14" i="31"/>
  <c r="G14" i="31" s="1"/>
  <c r="B17" i="31"/>
  <c r="A16" i="31"/>
  <c r="A15" i="31"/>
  <c r="B29" i="33" l="1"/>
  <c r="A28" i="33"/>
  <c r="H14" i="31"/>
  <c r="I14" i="31"/>
  <c r="F16" i="31"/>
  <c r="D16" i="31"/>
  <c r="F15" i="31"/>
  <c r="D15" i="31"/>
  <c r="A17" i="31"/>
  <c r="B18" i="31"/>
  <c r="A29" i="33" l="1"/>
  <c r="B30" i="33"/>
  <c r="G16" i="31"/>
  <c r="I16" i="31" s="1"/>
  <c r="G15" i="31"/>
  <c r="H15" i="31" s="1"/>
  <c r="B19" i="31"/>
  <c r="A18" i="31"/>
  <c r="D17" i="31"/>
  <c r="F17" i="31"/>
  <c r="A30" i="33" l="1"/>
  <c r="B31" i="33"/>
  <c r="H16" i="31"/>
  <c r="I15" i="31"/>
  <c r="G17" i="31"/>
  <c r="H17" i="31" s="1"/>
  <c r="F18" i="31"/>
  <c r="D18" i="31"/>
  <c r="B20" i="31"/>
  <c r="A19" i="31"/>
  <c r="B32" i="33" l="1"/>
  <c r="A31" i="33"/>
  <c r="I17" i="31"/>
  <c r="G18" i="31"/>
  <c r="H18" i="31" s="1"/>
  <c r="F19" i="31"/>
  <c r="D19" i="31"/>
  <c r="B21" i="31"/>
  <c r="A20" i="31"/>
  <c r="B33" i="33" l="1"/>
  <c r="A32" i="33"/>
  <c r="I18" i="31"/>
  <c r="F20" i="31"/>
  <c r="D20" i="31"/>
  <c r="A21" i="31"/>
  <c r="B22" i="31"/>
  <c r="G19" i="31"/>
  <c r="A33" i="33" l="1"/>
  <c r="B34" i="33"/>
  <c r="G20" i="31"/>
  <c r="I20" i="31" s="1"/>
  <c r="I19" i="31"/>
  <c r="H19" i="31"/>
  <c r="B23" i="31"/>
  <c r="A22" i="31"/>
  <c r="A34" i="33" l="1"/>
  <c r="B35" i="33"/>
  <c r="H20" i="31"/>
  <c r="B24" i="31"/>
  <c r="A23" i="31"/>
  <c r="B36" i="33" l="1"/>
  <c r="A35" i="33"/>
  <c r="A24" i="31"/>
  <c r="B25" i="31"/>
  <c r="B37" i="33" l="1"/>
  <c r="A36" i="33"/>
  <c r="A25" i="31"/>
  <c r="B26" i="31"/>
  <c r="B38" i="33" l="1"/>
  <c r="A37" i="33"/>
  <c r="B27" i="31"/>
  <c r="A26" i="31"/>
  <c r="B39" i="33" l="1"/>
  <c r="A38" i="33"/>
  <c r="B28" i="31"/>
  <c r="A27" i="31"/>
  <c r="B40" i="33" l="1"/>
  <c r="A39" i="33"/>
  <c r="A28" i="31"/>
  <c r="B29" i="31"/>
  <c r="A40" i="33" l="1"/>
  <c r="B41" i="33"/>
  <c r="A29" i="31"/>
  <c r="B30" i="31"/>
  <c r="B42" i="33" l="1"/>
  <c r="A41" i="33"/>
  <c r="A30" i="31"/>
  <c r="B31" i="31"/>
  <c r="B43" i="33" l="1"/>
  <c r="A42" i="33"/>
  <c r="B32" i="31"/>
  <c r="A31" i="31"/>
  <c r="B44" i="33" l="1"/>
  <c r="A43" i="33"/>
  <c r="A32" i="31"/>
  <c r="B33" i="31"/>
  <c r="B45" i="33" l="1"/>
  <c r="A44" i="33"/>
  <c r="A33" i="31"/>
  <c r="B34" i="31"/>
  <c r="A45" i="33" l="1"/>
  <c r="B46" i="33"/>
  <c r="B35" i="31"/>
  <c r="A34" i="31"/>
  <c r="B47" i="33" l="1"/>
  <c r="A46" i="33"/>
  <c r="B36" i="31"/>
  <c r="A35" i="31"/>
  <c r="A47" i="33" l="1"/>
  <c r="B48" i="33"/>
  <c r="A36" i="31"/>
  <c r="B37" i="31"/>
  <c r="B49" i="33" l="1"/>
  <c r="A48" i="33"/>
  <c r="A37" i="31"/>
  <c r="B38" i="31"/>
  <c r="B50" i="33" l="1"/>
  <c r="A49" i="33"/>
  <c r="A38" i="31"/>
  <c r="B39" i="31"/>
  <c r="A50" i="33" l="1"/>
  <c r="B51" i="33"/>
  <c r="B40" i="31"/>
  <c r="A39" i="31"/>
  <c r="A51" i="33" l="1"/>
  <c r="B52" i="33"/>
  <c r="A40" i="31"/>
  <c r="B41" i="31"/>
  <c r="A52" i="33" l="1"/>
  <c r="B53" i="33"/>
  <c r="A41" i="31"/>
  <c r="B42" i="31"/>
  <c r="A53" i="33" l="1"/>
  <c r="B54" i="33"/>
  <c r="A42" i="31"/>
  <c r="B43" i="31"/>
  <c r="A54" i="33" l="1"/>
  <c r="B55" i="33"/>
  <c r="B44" i="31"/>
  <c r="A43" i="31"/>
  <c r="B56" i="33" l="1"/>
  <c r="A55" i="33"/>
  <c r="D55" i="33" s="1"/>
  <c r="E55" i="33" s="1"/>
  <c r="F55" i="33" s="1"/>
  <c r="A44" i="31"/>
  <c r="B45" i="31"/>
  <c r="G55" i="33" l="1"/>
  <c r="B57" i="33"/>
  <c r="A56" i="33"/>
  <c r="D56" i="33" s="1"/>
  <c r="E56" i="33" s="1"/>
  <c r="F56" i="33" s="1"/>
  <c r="A45" i="31"/>
  <c r="B46" i="31"/>
  <c r="G56" i="33" l="1"/>
  <c r="A57" i="33"/>
  <c r="D57" i="33" s="1"/>
  <c r="E57" i="33" s="1"/>
  <c r="F57" i="33" s="1"/>
  <c r="B58" i="33"/>
  <c r="A46" i="31"/>
  <c r="B47" i="31"/>
  <c r="G57" i="33" l="1"/>
  <c r="B59" i="33"/>
  <c r="A59" i="33" s="1"/>
  <c r="D59" i="33" s="1"/>
  <c r="E59" i="33" s="1"/>
  <c r="G59" i="33" s="1"/>
  <c r="A58" i="33"/>
  <c r="D58" i="33" s="1"/>
  <c r="E58" i="33" s="1"/>
  <c r="G58" i="33" s="1"/>
  <c r="B48" i="31"/>
  <c r="A47" i="31"/>
  <c r="F58" i="33" l="1"/>
  <c r="F59" i="33"/>
  <c r="A48" i="31"/>
  <c r="B49" i="31"/>
  <c r="A49" i="31" l="1"/>
  <c r="B50" i="31"/>
  <c r="A50" i="31" l="1"/>
  <c r="B51" i="31"/>
  <c r="B52" i="31" l="1"/>
  <c r="A51" i="31"/>
  <c r="A52" i="31" l="1"/>
  <c r="B53" i="31"/>
  <c r="D51" i="31"/>
  <c r="F51" i="31"/>
  <c r="G51" i="31" l="1"/>
  <c r="A53" i="31"/>
  <c r="B54" i="31"/>
  <c r="F52" i="31"/>
  <c r="D52" i="31"/>
  <c r="G52" i="31" l="1"/>
  <c r="I52" i="31" s="1"/>
  <c r="A54" i="31"/>
  <c r="B55" i="31"/>
  <c r="A55" i="31" s="1"/>
  <c r="D53" i="31"/>
  <c r="F53" i="31"/>
  <c r="I51" i="31"/>
  <c r="H51" i="31"/>
  <c r="H52" i="31" l="1"/>
  <c r="G53" i="31"/>
  <c r="D55" i="31"/>
  <c r="F55" i="31"/>
  <c r="F54" i="31"/>
  <c r="D54" i="31"/>
  <c r="G54" i="31" l="1"/>
  <c r="H54" i="31" s="1"/>
  <c r="G55" i="31"/>
  <c r="I53" i="31"/>
  <c r="H53" i="31"/>
  <c r="I54" i="31" l="1"/>
  <c r="I55" i="31"/>
  <c r="H55" i="31"/>
  <c r="T11" i="29" l="1"/>
  <c r="U11" i="29"/>
  <c r="V11" i="29"/>
  <c r="W11" i="29"/>
  <c r="X11" i="29"/>
  <c r="Y11" i="29"/>
  <c r="Z11" i="29"/>
  <c r="AA11" i="29"/>
  <c r="T16" i="29"/>
  <c r="U16" i="29"/>
  <c r="V16" i="29"/>
  <c r="W16" i="29"/>
  <c r="X16" i="29"/>
  <c r="Y16" i="29"/>
  <c r="Z16" i="29"/>
  <c r="AA16" i="29"/>
  <c r="T21" i="29"/>
  <c r="U21" i="29"/>
  <c r="V21" i="29"/>
  <c r="W21" i="29"/>
  <c r="X21" i="29"/>
  <c r="Y21" i="29"/>
  <c r="Z21" i="29"/>
  <c r="AA21" i="29"/>
  <c r="T26" i="29"/>
  <c r="U26" i="29"/>
  <c r="V26" i="29"/>
  <c r="W26" i="29"/>
  <c r="X26" i="29"/>
  <c r="Y26" i="29"/>
  <c r="Z26" i="29"/>
  <c r="AA26" i="29"/>
  <c r="V27" i="29"/>
  <c r="W27" i="29"/>
  <c r="Z27" i="29"/>
  <c r="AA27" i="29"/>
  <c r="S11" i="29"/>
  <c r="S16" i="29"/>
  <c r="S21" i="29"/>
  <c r="S22" i="29"/>
  <c r="S26" i="29"/>
  <c r="S27" i="29"/>
  <c r="S7" i="29"/>
  <c r="R11" i="29"/>
  <c r="R16" i="29"/>
  <c r="R21" i="29"/>
  <c r="R22" i="29"/>
  <c r="R26" i="29"/>
  <c r="R27" i="29"/>
  <c r="R7" i="29"/>
  <c r="Q11" i="29"/>
  <c r="Q16" i="29"/>
  <c r="Q21" i="29"/>
  <c r="Q22" i="29"/>
  <c r="Q26" i="29"/>
  <c r="Q27" i="29"/>
  <c r="Q7" i="29"/>
  <c r="P11" i="29"/>
  <c r="P16" i="29"/>
  <c r="P21" i="29"/>
  <c r="P22" i="29"/>
  <c r="P26" i="29"/>
  <c r="P27" i="29"/>
  <c r="P7" i="29"/>
  <c r="O11" i="29"/>
  <c r="O16" i="29"/>
  <c r="O21" i="29"/>
  <c r="O22" i="29"/>
  <c r="O26" i="29"/>
  <c r="O27" i="29"/>
  <c r="O7" i="29"/>
  <c r="N11" i="29"/>
  <c r="N16" i="29"/>
  <c r="N21" i="29"/>
  <c r="N22" i="29"/>
  <c r="N26" i="29"/>
  <c r="N27" i="29"/>
  <c r="N7" i="29"/>
  <c r="M11" i="29"/>
  <c r="M16" i="29"/>
  <c r="M21" i="29"/>
  <c r="M22" i="29"/>
  <c r="M26" i="29"/>
  <c r="M27" i="29"/>
  <c r="M7" i="29"/>
  <c r="L11" i="29"/>
  <c r="L16" i="29"/>
  <c r="L17" i="29"/>
  <c r="L21" i="29"/>
  <c r="L22" i="29"/>
  <c r="L26" i="29"/>
  <c r="L7" i="29"/>
  <c r="AA80" i="29"/>
  <c r="Z80" i="29"/>
  <c r="X80" i="29"/>
  <c r="Y80" i="29" s="1"/>
  <c r="V80" i="29"/>
  <c r="V94" i="29" s="1"/>
  <c r="T80" i="29"/>
  <c r="V79" i="29"/>
  <c r="V78" i="29"/>
  <c r="V77" i="29"/>
  <c r="V76" i="29"/>
  <c r="S76" i="29"/>
  <c r="S77" i="29" s="1"/>
  <c r="S78" i="29" s="1"/>
  <c r="S79" i="29" s="1"/>
  <c r="V75" i="29"/>
  <c r="V74" i="29"/>
  <c r="V73" i="29"/>
  <c r="V72" i="29"/>
  <c r="V71" i="29"/>
  <c r="S71" i="29"/>
  <c r="S72" i="29" s="1"/>
  <c r="S73" i="29" s="1"/>
  <c r="S74" i="29" s="1"/>
  <c r="V70" i="29"/>
  <c r="V69" i="29"/>
  <c r="V68" i="29"/>
  <c r="V67" i="29"/>
  <c r="V66" i="29"/>
  <c r="S66" i="29"/>
  <c r="S67" i="29" s="1"/>
  <c r="S68" i="29" s="1"/>
  <c r="S69" i="29" s="1"/>
  <c r="V65" i="29"/>
  <c r="V64" i="29"/>
  <c r="V63" i="29"/>
  <c r="V62" i="29"/>
  <c r="S62" i="29"/>
  <c r="S63" i="29" s="1"/>
  <c r="S64" i="29" s="1"/>
  <c r="V61" i="29"/>
  <c r="S61" i="29"/>
  <c r="V60" i="29"/>
  <c r="V59" i="29"/>
  <c r="V58" i="29"/>
  <c r="V57" i="29"/>
  <c r="V56" i="29"/>
  <c r="S56" i="29"/>
  <c r="S57" i="29" s="1"/>
  <c r="S58" i="29" s="1"/>
  <c r="S59" i="29" s="1"/>
  <c r="AA55" i="29"/>
  <c r="Z55" i="29"/>
  <c r="X55" i="29"/>
  <c r="Y55" i="29" s="1"/>
  <c r="V55" i="29"/>
  <c r="T55" i="29"/>
  <c r="U55" i="29" s="1"/>
  <c r="AA54" i="29"/>
  <c r="Z54" i="29"/>
  <c r="X54" i="29"/>
  <c r="Y54" i="29" s="1"/>
  <c r="V54" i="29"/>
  <c r="T54" i="29"/>
  <c r="U54" i="29" s="1"/>
  <c r="AA46" i="29"/>
  <c r="Z46" i="29"/>
  <c r="Y46" i="29"/>
  <c r="X46" i="29"/>
  <c r="W46" i="29"/>
  <c r="V46" i="29"/>
  <c r="U46" i="29"/>
  <c r="T46" i="29"/>
  <c r="S46" i="29"/>
  <c r="R46" i="29"/>
  <c r="Q46" i="29"/>
  <c r="P46" i="29"/>
  <c r="O46" i="29"/>
  <c r="N46" i="29"/>
  <c r="M46" i="29"/>
  <c r="L46" i="29"/>
  <c r="AA45" i="29"/>
  <c r="Z45" i="29"/>
  <c r="Y45" i="29"/>
  <c r="X45" i="29"/>
  <c r="W45" i="29"/>
  <c r="V45" i="29"/>
  <c r="U45" i="29"/>
  <c r="T45" i="29"/>
  <c r="S45" i="29"/>
  <c r="R45" i="29"/>
  <c r="Q45" i="29"/>
  <c r="P45" i="29"/>
  <c r="O45" i="29"/>
  <c r="N45" i="29"/>
  <c r="M45" i="29"/>
  <c r="L45" i="29"/>
  <c r="AA44" i="29"/>
  <c r="Z44" i="29"/>
  <c r="Y44" i="29"/>
  <c r="X44" i="29"/>
  <c r="W44" i="29"/>
  <c r="V44" i="29"/>
  <c r="U44" i="29"/>
  <c r="T44" i="29"/>
  <c r="S44" i="29"/>
  <c r="R44" i="29"/>
  <c r="Q44" i="29"/>
  <c r="P44" i="29"/>
  <c r="O44" i="29"/>
  <c r="N44" i="29"/>
  <c r="M44" i="29"/>
  <c r="Z93" i="29" s="1"/>
  <c r="L44" i="29"/>
  <c r="AA43" i="29"/>
  <c r="Z43" i="29"/>
  <c r="Y43" i="29"/>
  <c r="X43" i="29"/>
  <c r="W43" i="29"/>
  <c r="V43" i="29"/>
  <c r="U43" i="29"/>
  <c r="T43" i="29"/>
  <c r="S43" i="29"/>
  <c r="R43" i="29"/>
  <c r="Q43" i="29"/>
  <c r="P43" i="29"/>
  <c r="O43" i="29"/>
  <c r="N43" i="29"/>
  <c r="M43" i="29"/>
  <c r="L43" i="29"/>
  <c r="AA42" i="29"/>
  <c r="Z42" i="29"/>
  <c r="Y42" i="29"/>
  <c r="X42" i="29"/>
  <c r="W42" i="29"/>
  <c r="V42" i="29"/>
  <c r="U42" i="29"/>
  <c r="T42" i="29"/>
  <c r="S42" i="29"/>
  <c r="R42" i="29"/>
  <c r="Q42" i="29"/>
  <c r="P42" i="29"/>
  <c r="O42" i="29"/>
  <c r="N42" i="29"/>
  <c r="M42" i="29"/>
  <c r="L42" i="29"/>
  <c r="AA41" i="29"/>
  <c r="Z41" i="29"/>
  <c r="Y41" i="29"/>
  <c r="X41" i="29"/>
  <c r="W41" i="29"/>
  <c r="V41" i="29"/>
  <c r="U41" i="29"/>
  <c r="T41" i="29"/>
  <c r="S41" i="29"/>
  <c r="R41" i="29"/>
  <c r="Q41" i="29"/>
  <c r="P41" i="29"/>
  <c r="O41" i="29"/>
  <c r="N41" i="29"/>
  <c r="M41" i="29"/>
  <c r="Z90" i="29" s="1"/>
  <c r="L41" i="29"/>
  <c r="AA40" i="29"/>
  <c r="Z40" i="29"/>
  <c r="Y40" i="29"/>
  <c r="X40" i="29"/>
  <c r="W40" i="29"/>
  <c r="V40" i="29"/>
  <c r="U40" i="29"/>
  <c r="T40" i="29"/>
  <c r="S40" i="29"/>
  <c r="R40" i="29"/>
  <c r="Q40" i="29"/>
  <c r="P40" i="29"/>
  <c r="O40" i="29"/>
  <c r="N40" i="29"/>
  <c r="M40" i="29"/>
  <c r="L40" i="29"/>
  <c r="AA39" i="29"/>
  <c r="Z39" i="29"/>
  <c r="Y39" i="29"/>
  <c r="X39" i="29"/>
  <c r="W39" i="29"/>
  <c r="V39" i="29"/>
  <c r="U39" i="29"/>
  <c r="T39" i="29"/>
  <c r="S39" i="29"/>
  <c r="R39" i="29"/>
  <c r="Q39" i="29"/>
  <c r="P39" i="29"/>
  <c r="O39" i="29"/>
  <c r="N39" i="29"/>
  <c r="M39" i="29"/>
  <c r="L39" i="29"/>
  <c r="AA38" i="29"/>
  <c r="Z38" i="29"/>
  <c r="Y38" i="29"/>
  <c r="X38" i="29"/>
  <c r="W38" i="29"/>
  <c r="V38" i="29"/>
  <c r="U38" i="29"/>
  <c r="T38" i="29"/>
  <c r="S38" i="29"/>
  <c r="R38" i="29"/>
  <c r="Q38" i="29"/>
  <c r="P38" i="29"/>
  <c r="O38" i="29"/>
  <c r="N38" i="29"/>
  <c r="M38" i="29"/>
  <c r="L38" i="29"/>
  <c r="AA37" i="29"/>
  <c r="Z37" i="29"/>
  <c r="Y37" i="29"/>
  <c r="X37" i="29"/>
  <c r="W37" i="29"/>
  <c r="V37" i="29"/>
  <c r="U37" i="29"/>
  <c r="T37" i="29"/>
  <c r="S37" i="29"/>
  <c r="R37" i="29"/>
  <c r="Q37" i="29"/>
  <c r="P37" i="29"/>
  <c r="O37" i="29"/>
  <c r="N37" i="29"/>
  <c r="M37" i="29"/>
  <c r="L37" i="29"/>
  <c r="AA36" i="29"/>
  <c r="Z36" i="29"/>
  <c r="Y36" i="29"/>
  <c r="X36" i="29"/>
  <c r="W36" i="29"/>
  <c r="V36" i="29"/>
  <c r="U36" i="29"/>
  <c r="T36" i="29"/>
  <c r="S36" i="29"/>
  <c r="R36" i="29"/>
  <c r="Q36" i="29"/>
  <c r="P36" i="29"/>
  <c r="O36" i="29"/>
  <c r="N36" i="29"/>
  <c r="M36" i="29"/>
  <c r="L36" i="29"/>
  <c r="AA35" i="29"/>
  <c r="Z35" i="29"/>
  <c r="Y35" i="29"/>
  <c r="X35" i="29"/>
  <c r="W35" i="29"/>
  <c r="V35" i="29"/>
  <c r="U35" i="29"/>
  <c r="T35" i="29"/>
  <c r="S35" i="29"/>
  <c r="R35" i="29"/>
  <c r="Q35" i="29"/>
  <c r="P35" i="29"/>
  <c r="O35" i="29"/>
  <c r="N35" i="29"/>
  <c r="M35" i="29"/>
  <c r="L35" i="29"/>
  <c r="AA34" i="29"/>
  <c r="Z34" i="29"/>
  <c r="Y34" i="29"/>
  <c r="X34" i="29"/>
  <c r="W34" i="29"/>
  <c r="V34" i="29"/>
  <c r="U34" i="29"/>
  <c r="T34" i="29"/>
  <c r="S34" i="29"/>
  <c r="R34" i="29"/>
  <c r="Q34" i="29"/>
  <c r="P34" i="29"/>
  <c r="O34" i="29"/>
  <c r="N34" i="29"/>
  <c r="M34" i="29"/>
  <c r="L34" i="29"/>
  <c r="AA33" i="29"/>
  <c r="Z33" i="29"/>
  <c r="Y33" i="29"/>
  <c r="X33" i="29"/>
  <c r="W33" i="29"/>
  <c r="V33" i="29"/>
  <c r="U33" i="29"/>
  <c r="T33" i="29"/>
  <c r="S33" i="29"/>
  <c r="R33" i="29"/>
  <c r="Q33" i="29"/>
  <c r="P33" i="29"/>
  <c r="O33" i="29"/>
  <c r="N33" i="29"/>
  <c r="M33" i="29"/>
  <c r="L33" i="29"/>
  <c r="F33" i="29"/>
  <c r="F34" i="29" s="1"/>
  <c r="E38" i="29" s="1"/>
  <c r="E33" i="29"/>
  <c r="E34" i="29" s="1"/>
  <c r="D38" i="29" s="1"/>
  <c r="C46" i="29" s="1"/>
  <c r="AA32" i="29"/>
  <c r="Z32" i="29"/>
  <c r="Y32" i="29"/>
  <c r="X32" i="29"/>
  <c r="W32" i="29"/>
  <c r="V32" i="29"/>
  <c r="U32" i="29"/>
  <c r="T32" i="29"/>
  <c r="S32" i="29"/>
  <c r="R32" i="29"/>
  <c r="Q32" i="29"/>
  <c r="P32" i="29"/>
  <c r="O32" i="29"/>
  <c r="N32" i="29"/>
  <c r="M32" i="29"/>
  <c r="L32" i="29"/>
  <c r="I31" i="29"/>
  <c r="H31" i="29"/>
  <c r="I30" i="29"/>
  <c r="H30" i="29"/>
  <c r="I29" i="29"/>
  <c r="H29" i="29"/>
  <c r="K28" i="29"/>
  <c r="I28" i="29"/>
  <c r="H28" i="29"/>
  <c r="K27" i="29"/>
  <c r="T27" i="29" s="1"/>
  <c r="I27" i="29"/>
  <c r="H27" i="29"/>
  <c r="I26" i="29"/>
  <c r="H26" i="29"/>
  <c r="I25" i="29"/>
  <c r="H25" i="29"/>
  <c r="I24" i="29"/>
  <c r="H24" i="29"/>
  <c r="K23" i="29"/>
  <c r="O23" i="29" s="1"/>
  <c r="I23" i="29"/>
  <c r="H23" i="29"/>
  <c r="K22" i="29"/>
  <c r="T22" i="29" s="1"/>
  <c r="I22" i="29"/>
  <c r="H22" i="29"/>
  <c r="I21" i="29"/>
  <c r="H21" i="29"/>
  <c r="I20" i="29"/>
  <c r="H20" i="29"/>
  <c r="I19" i="29"/>
  <c r="H19" i="29"/>
  <c r="K18" i="29"/>
  <c r="O18" i="29" s="1"/>
  <c r="I18" i="29"/>
  <c r="H18" i="29"/>
  <c r="K17" i="29"/>
  <c r="T17" i="29" s="1"/>
  <c r="I17" i="29"/>
  <c r="H17" i="29"/>
  <c r="I16" i="29"/>
  <c r="H16" i="29"/>
  <c r="I15" i="29"/>
  <c r="H15" i="29"/>
  <c r="I14" i="29"/>
  <c r="H14" i="29"/>
  <c r="K13" i="29"/>
  <c r="I13" i="29"/>
  <c r="H13" i="29"/>
  <c r="K12" i="29"/>
  <c r="T12" i="29" s="1"/>
  <c r="I12" i="29"/>
  <c r="H12" i="29"/>
  <c r="I11" i="29"/>
  <c r="H11" i="29"/>
  <c r="I10" i="29"/>
  <c r="H10" i="29"/>
  <c r="I9" i="29"/>
  <c r="H9" i="29"/>
  <c r="I8" i="29"/>
  <c r="H8" i="29"/>
  <c r="K7" i="29"/>
  <c r="AA7" i="29" s="1"/>
  <c r="I7" i="29"/>
  <c r="H7" i="29"/>
  <c r="I6" i="29"/>
  <c r="H6" i="29"/>
  <c r="I5" i="29"/>
  <c r="H5" i="29"/>
  <c r="T13" i="29" l="1"/>
  <c r="X13" i="29"/>
  <c r="U13" i="29"/>
  <c r="Y13" i="29"/>
  <c r="S13" i="29"/>
  <c r="R13" i="29"/>
  <c r="Q13" i="29"/>
  <c r="P13" i="29"/>
  <c r="O13" i="29"/>
  <c r="N13" i="29"/>
  <c r="M13" i="29"/>
  <c r="V13" i="29"/>
  <c r="Z13" i="29"/>
  <c r="W13" i="29"/>
  <c r="AA13" i="29"/>
  <c r="N23" i="29"/>
  <c r="N18" i="29"/>
  <c r="P23" i="29"/>
  <c r="P18" i="29"/>
  <c r="Q23" i="29"/>
  <c r="T28" i="29"/>
  <c r="X28" i="29"/>
  <c r="S28" i="29"/>
  <c r="R28" i="29"/>
  <c r="Q28" i="29"/>
  <c r="P28" i="29"/>
  <c r="O28" i="29"/>
  <c r="N28" i="29"/>
  <c r="M28" i="29"/>
  <c r="U28" i="29"/>
  <c r="Y28" i="29"/>
  <c r="L28" i="29"/>
  <c r="V28" i="29"/>
  <c r="Z28" i="29"/>
  <c r="W28" i="29"/>
  <c r="AA28" i="29"/>
  <c r="L18" i="29"/>
  <c r="L13" i="29"/>
  <c r="M23" i="29"/>
  <c r="M18" i="29"/>
  <c r="T18" i="29"/>
  <c r="X18" i="29"/>
  <c r="U18" i="29"/>
  <c r="Y18" i="29"/>
  <c r="V18" i="29"/>
  <c r="Z18" i="29"/>
  <c r="S18" i="29"/>
  <c r="R18" i="29"/>
  <c r="Q18" i="29"/>
  <c r="W18" i="29"/>
  <c r="AA18" i="29"/>
  <c r="T23" i="29"/>
  <c r="X23" i="29"/>
  <c r="L23" i="29"/>
  <c r="U23" i="29"/>
  <c r="Y23" i="29"/>
  <c r="V23" i="29"/>
  <c r="Z23" i="29"/>
  <c r="W23" i="29"/>
  <c r="AA23" i="29"/>
  <c r="S23" i="29"/>
  <c r="R23" i="29"/>
  <c r="X60" i="29"/>
  <c r="T7" i="29"/>
  <c r="X7" i="29"/>
  <c r="AA22" i="29"/>
  <c r="W22" i="29"/>
  <c r="AA17" i="29"/>
  <c r="W17" i="29"/>
  <c r="AA12" i="29"/>
  <c r="W12" i="29"/>
  <c r="U7" i="29"/>
  <c r="Y7" i="29"/>
  <c r="Z22" i="29"/>
  <c r="V22" i="29"/>
  <c r="Z17" i="29"/>
  <c r="V17" i="29"/>
  <c r="Z12" i="29"/>
  <c r="X61" i="29" s="1"/>
  <c r="Y61" i="29" s="1"/>
  <c r="V12" i="29"/>
  <c r="T90" i="29"/>
  <c r="T93" i="29"/>
  <c r="L12" i="29"/>
  <c r="M17" i="29"/>
  <c r="N17" i="29"/>
  <c r="O17" i="29"/>
  <c r="P17" i="29"/>
  <c r="X66" i="29" s="1"/>
  <c r="Y66" i="29" s="1"/>
  <c r="Q17" i="29"/>
  <c r="R17" i="29"/>
  <c r="S17" i="29"/>
  <c r="V7" i="29"/>
  <c r="Z7" i="29"/>
  <c r="Y27" i="29"/>
  <c r="U27" i="29"/>
  <c r="Y22" i="29"/>
  <c r="AA71" i="29" s="1"/>
  <c r="U22" i="29"/>
  <c r="Y17" i="29"/>
  <c r="U17" i="29"/>
  <c r="Y12" i="29"/>
  <c r="U12" i="29"/>
  <c r="W80" i="29"/>
  <c r="L27" i="29"/>
  <c r="M12" i="29"/>
  <c r="Z61" i="29" s="1"/>
  <c r="N12" i="29"/>
  <c r="O12" i="29"/>
  <c r="P12" i="29"/>
  <c r="Q12" i="29"/>
  <c r="AA61" i="29" s="1"/>
  <c r="R12" i="29"/>
  <c r="S12" i="29"/>
  <c r="W7" i="29"/>
  <c r="X27" i="29"/>
  <c r="X76" i="29" s="1"/>
  <c r="Y76" i="29" s="1"/>
  <c r="X22" i="29"/>
  <c r="X17" i="29"/>
  <c r="X12" i="29"/>
  <c r="X94" i="29"/>
  <c r="X91" i="29"/>
  <c r="X88" i="29"/>
  <c r="AA82" i="29"/>
  <c r="AA85" i="29"/>
  <c r="AA83" i="29"/>
  <c r="AA95" i="29"/>
  <c r="AA86" i="29"/>
  <c r="AA90" i="29"/>
  <c r="AA92" i="29"/>
  <c r="AA89" i="29"/>
  <c r="AA84" i="29"/>
  <c r="Z87" i="29"/>
  <c r="T87" i="29"/>
  <c r="T84" i="29"/>
  <c r="Z84" i="29"/>
  <c r="AA65" i="29"/>
  <c r="X75" i="29"/>
  <c r="Y75" i="29" s="1"/>
  <c r="W55" i="29"/>
  <c r="X70" i="29"/>
  <c r="Y70" i="29" s="1"/>
  <c r="AA81" i="29"/>
  <c r="AA93" i="29"/>
  <c r="T82" i="29"/>
  <c r="Z75" i="29"/>
  <c r="Z60" i="29"/>
  <c r="T60" i="29"/>
  <c r="U60" i="29" s="1"/>
  <c r="X83" i="29"/>
  <c r="X65" i="29"/>
  <c r="Y65" i="29" s="1"/>
  <c r="Z81" i="29"/>
  <c r="Z65" i="29"/>
  <c r="X86" i="29"/>
  <c r="X89" i="29"/>
  <c r="X95" i="29"/>
  <c r="X81" i="29"/>
  <c r="AA87" i="29"/>
  <c r="T75" i="29"/>
  <c r="W75" i="29" s="1"/>
  <c r="X92" i="29"/>
  <c r="Z82" i="29"/>
  <c r="Z85" i="29"/>
  <c r="Z88" i="29"/>
  <c r="Z91" i="29"/>
  <c r="Z94" i="29"/>
  <c r="T81" i="29"/>
  <c r="T83" i="29"/>
  <c r="X84" i="29"/>
  <c r="T85" i="29"/>
  <c r="T86" i="29"/>
  <c r="X87" i="29"/>
  <c r="T88" i="29"/>
  <c r="X90" i="29"/>
  <c r="T91" i="29"/>
  <c r="X93" i="29"/>
  <c r="T94" i="29"/>
  <c r="AA91" i="29"/>
  <c r="Z83" i="29"/>
  <c r="Z86" i="29"/>
  <c r="AA88" i="29"/>
  <c r="Z89" i="29"/>
  <c r="Z92" i="29"/>
  <c r="AA94" i="29"/>
  <c r="Z95" i="29"/>
  <c r="X82" i="29"/>
  <c r="X85" i="29"/>
  <c r="T89" i="29"/>
  <c r="T92" i="29"/>
  <c r="T95" i="29"/>
  <c r="T65" i="29"/>
  <c r="W65" i="29" s="1"/>
  <c r="AA70" i="29"/>
  <c r="AA60" i="29"/>
  <c r="Z70" i="29"/>
  <c r="T70" i="29"/>
  <c r="U70" i="29" s="1"/>
  <c r="AA75" i="29"/>
  <c r="Y60" i="29"/>
  <c r="W54" i="29"/>
  <c r="K8" i="29"/>
  <c r="H33" i="29"/>
  <c r="X56" i="29"/>
  <c r="Y56" i="29" s="1"/>
  <c r="K24" i="29"/>
  <c r="X67" i="29"/>
  <c r="Y67" i="29" s="1"/>
  <c r="I33" i="29"/>
  <c r="I34" i="29" s="1"/>
  <c r="F46" i="29"/>
  <c r="E46" i="29"/>
  <c r="T71" i="29"/>
  <c r="Z67" i="29"/>
  <c r="C39" i="29"/>
  <c r="C47" i="29" s="1"/>
  <c r="C73" i="29"/>
  <c r="K14" i="29"/>
  <c r="T66" i="29"/>
  <c r="W94" i="29"/>
  <c r="W91" i="29"/>
  <c r="W88" i="29"/>
  <c r="W95" i="29"/>
  <c r="W92" i="29"/>
  <c r="W89" i="29"/>
  <c r="W93" i="29"/>
  <c r="W90" i="29"/>
  <c r="W87" i="29"/>
  <c r="W86" i="29"/>
  <c r="W85" i="29"/>
  <c r="W84" i="29"/>
  <c r="W83" i="29"/>
  <c r="W82" i="29"/>
  <c r="W81" i="29"/>
  <c r="Z66" i="29"/>
  <c r="K29" i="29"/>
  <c r="T67" i="29"/>
  <c r="K19" i="29"/>
  <c r="AA67" i="29"/>
  <c r="Z71" i="29"/>
  <c r="Y95" i="29"/>
  <c r="Y92" i="29"/>
  <c r="Y89" i="29"/>
  <c r="Y93" i="29"/>
  <c r="Y90" i="29"/>
  <c r="Y87" i="29"/>
  <c r="Y86" i="29"/>
  <c r="Y85" i="29"/>
  <c r="Y84" i="29"/>
  <c r="Y83" i="29"/>
  <c r="Y82" i="29"/>
  <c r="Y81" i="29"/>
  <c r="Y94" i="29"/>
  <c r="Y91" i="29"/>
  <c r="Y88" i="29"/>
  <c r="T76" i="29"/>
  <c r="AA76" i="29"/>
  <c r="AA77" i="29"/>
  <c r="U80" i="29"/>
  <c r="V81" i="29"/>
  <c r="V82" i="29"/>
  <c r="V83" i="29"/>
  <c r="V84" i="29"/>
  <c r="V85" i="29"/>
  <c r="V86" i="29"/>
  <c r="V87" i="29"/>
  <c r="V90" i="29"/>
  <c r="V93" i="29"/>
  <c r="V89" i="29"/>
  <c r="V92" i="29"/>
  <c r="V95" i="29"/>
  <c r="V88" i="29"/>
  <c r="V91" i="29"/>
  <c r="AA66" i="29" l="1"/>
  <c r="T14" i="29"/>
  <c r="X14" i="29"/>
  <c r="U14" i="29"/>
  <c r="Y14" i="29"/>
  <c r="Q14" i="29"/>
  <c r="V14" i="29"/>
  <c r="Z14" i="29"/>
  <c r="X63" i="29" s="1"/>
  <c r="Y63" i="29" s="1"/>
  <c r="S14" i="29"/>
  <c r="R14" i="29"/>
  <c r="W14" i="29"/>
  <c r="AA14" i="29"/>
  <c r="P14" i="29"/>
  <c r="N14" i="29"/>
  <c r="O14" i="29"/>
  <c r="M14" i="29"/>
  <c r="L14" i="29"/>
  <c r="T24" i="29"/>
  <c r="X24" i="29"/>
  <c r="S24" i="29"/>
  <c r="R24" i="29"/>
  <c r="Q24" i="29"/>
  <c r="P24" i="29"/>
  <c r="O24" i="29"/>
  <c r="N24" i="29"/>
  <c r="M24" i="29"/>
  <c r="U24" i="29"/>
  <c r="Y24" i="29"/>
  <c r="L24" i="29"/>
  <c r="V24" i="29"/>
  <c r="Z24" i="29"/>
  <c r="W24" i="29"/>
  <c r="AA24" i="29"/>
  <c r="T8" i="29"/>
  <c r="X8" i="29"/>
  <c r="S8" i="29"/>
  <c r="R8" i="29"/>
  <c r="Q8" i="29"/>
  <c r="P8" i="29"/>
  <c r="O8" i="29"/>
  <c r="N8" i="29"/>
  <c r="M8" i="29"/>
  <c r="U8" i="29"/>
  <c r="Y8" i="29"/>
  <c r="L8" i="29"/>
  <c r="V8" i="29"/>
  <c r="Z8" i="29"/>
  <c r="W8" i="29"/>
  <c r="AA8" i="29"/>
  <c r="T19" i="29"/>
  <c r="X19" i="29"/>
  <c r="L19" i="29"/>
  <c r="U19" i="29"/>
  <c r="Y19" i="29"/>
  <c r="V19" i="29"/>
  <c r="Z19" i="29"/>
  <c r="W19" i="29"/>
  <c r="AA19" i="29"/>
  <c r="S19" i="29"/>
  <c r="P19" i="29"/>
  <c r="N19" i="29"/>
  <c r="R19" i="29"/>
  <c r="O19" i="29"/>
  <c r="M19" i="29"/>
  <c r="Q19" i="29"/>
  <c r="T29" i="29"/>
  <c r="X29" i="29"/>
  <c r="U29" i="29"/>
  <c r="Y29" i="29"/>
  <c r="S29" i="29"/>
  <c r="R29" i="29"/>
  <c r="Q29" i="29"/>
  <c r="P29" i="29"/>
  <c r="O29" i="29"/>
  <c r="N29" i="29"/>
  <c r="M29" i="29"/>
  <c r="V29" i="29"/>
  <c r="Z29" i="29"/>
  <c r="W29" i="29"/>
  <c r="AA29" i="29"/>
  <c r="L29" i="29"/>
  <c r="D33" i="16"/>
  <c r="D31" i="16"/>
  <c r="C57" i="13" s="1"/>
  <c r="D46" i="29"/>
  <c r="C15" i="31" s="1"/>
  <c r="E15" i="31"/>
  <c r="U75" i="29"/>
  <c r="U65" i="29"/>
  <c r="W60" i="29"/>
  <c r="W70" i="29"/>
  <c r="W67" i="29"/>
  <c r="U67" i="29"/>
  <c r="W71" i="29"/>
  <c r="U71" i="29"/>
  <c r="F47" i="29"/>
  <c r="E47" i="29"/>
  <c r="C48" i="29"/>
  <c r="K15" i="29"/>
  <c r="T77" i="29"/>
  <c r="AA62" i="29"/>
  <c r="Z72" i="29"/>
  <c r="U94" i="29"/>
  <c r="U91" i="29"/>
  <c r="U88" i="29"/>
  <c r="U95" i="29"/>
  <c r="U92" i="29"/>
  <c r="U89" i="29"/>
  <c r="U93" i="29"/>
  <c r="U90" i="29"/>
  <c r="U87" i="29"/>
  <c r="U86" i="29"/>
  <c r="U85" i="29"/>
  <c r="U84" i="29"/>
  <c r="U83" i="29"/>
  <c r="U82" i="29"/>
  <c r="U81" i="29"/>
  <c r="T72" i="29"/>
  <c r="Z56" i="29"/>
  <c r="X77" i="29"/>
  <c r="Y77" i="29" s="1"/>
  <c r="X72" i="29"/>
  <c r="Y72" i="29" s="1"/>
  <c r="G33" i="29"/>
  <c r="H34" i="29"/>
  <c r="U76" i="29"/>
  <c r="W76" i="29"/>
  <c r="K25" i="29"/>
  <c r="K30" i="29"/>
  <c r="X78" i="29"/>
  <c r="Y78" i="29" s="1"/>
  <c r="T78" i="29"/>
  <c r="Z62" i="29"/>
  <c r="X62" i="29"/>
  <c r="Y62" i="29" s="1"/>
  <c r="Z76" i="29"/>
  <c r="T61" i="29"/>
  <c r="C87" i="29"/>
  <c r="C86" i="29"/>
  <c r="C85" i="29"/>
  <c r="C84" i="29"/>
  <c r="C83" i="29"/>
  <c r="C82" i="29"/>
  <c r="C81" i="29"/>
  <c r="C80" i="29"/>
  <c r="C79" i="29"/>
  <c r="C78" i="29"/>
  <c r="C77" i="29"/>
  <c r="F73" i="29"/>
  <c r="C76" i="29"/>
  <c r="C75" i="29"/>
  <c r="E73" i="29"/>
  <c r="C74" i="29"/>
  <c r="K20" i="29"/>
  <c r="AA72" i="29"/>
  <c r="K9" i="29"/>
  <c r="T57" i="29"/>
  <c r="W66" i="29"/>
  <c r="U66" i="29"/>
  <c r="T56" i="29"/>
  <c r="X71" i="29"/>
  <c r="Y71" i="29" s="1"/>
  <c r="AA56" i="29"/>
  <c r="Z77" i="29"/>
  <c r="T62" i="29"/>
  <c r="V42" i="26"/>
  <c r="I71" i="26"/>
  <c r="Y36" i="26"/>
  <c r="AA36" i="26" s="1"/>
  <c r="Y35" i="26"/>
  <c r="AA34" i="26"/>
  <c r="AA33" i="26"/>
  <c r="AA32" i="26"/>
  <c r="AA31" i="26"/>
  <c r="U36" i="26"/>
  <c r="W36" i="26" s="1"/>
  <c r="I70" i="26" s="1"/>
  <c r="U35" i="26"/>
  <c r="W34" i="26"/>
  <c r="W33" i="26"/>
  <c r="W32" i="26"/>
  <c r="W31" i="26"/>
  <c r="T9" i="29" l="1"/>
  <c r="X9" i="29"/>
  <c r="U9" i="29"/>
  <c r="Y9" i="29"/>
  <c r="S9" i="29"/>
  <c r="R9" i="29"/>
  <c r="Q9" i="29"/>
  <c r="P9" i="29"/>
  <c r="O9" i="29"/>
  <c r="N9" i="29"/>
  <c r="M9" i="29"/>
  <c r="V9" i="29"/>
  <c r="Z9" i="29"/>
  <c r="W9" i="29"/>
  <c r="AA9" i="29"/>
  <c r="L9" i="29"/>
  <c r="Z58" i="29" s="1"/>
  <c r="W35" i="26"/>
  <c r="T30" i="29"/>
  <c r="X30" i="29"/>
  <c r="L30" i="29"/>
  <c r="U30" i="29"/>
  <c r="Y30" i="29"/>
  <c r="S30" i="29"/>
  <c r="V30" i="29"/>
  <c r="Z30" i="29"/>
  <c r="R30" i="29"/>
  <c r="W30" i="29"/>
  <c r="AA30" i="29"/>
  <c r="O30" i="29"/>
  <c r="M30" i="29"/>
  <c r="Q30" i="29"/>
  <c r="P30" i="29"/>
  <c r="N30" i="29"/>
  <c r="T20" i="29"/>
  <c r="X20" i="29"/>
  <c r="S20" i="29"/>
  <c r="R20" i="29"/>
  <c r="Q20" i="29"/>
  <c r="P20" i="29"/>
  <c r="O20" i="29"/>
  <c r="N20" i="29"/>
  <c r="M20" i="29"/>
  <c r="U20" i="29"/>
  <c r="Y20" i="29"/>
  <c r="L20" i="29"/>
  <c r="V20" i="29"/>
  <c r="Z20" i="29"/>
  <c r="W20" i="29"/>
  <c r="AA20" i="29"/>
  <c r="T25" i="29"/>
  <c r="X25" i="29"/>
  <c r="U25" i="29"/>
  <c r="Y25" i="29"/>
  <c r="S25" i="29"/>
  <c r="R25" i="29"/>
  <c r="Q25" i="29"/>
  <c r="P25" i="29"/>
  <c r="O25" i="29"/>
  <c r="N25" i="29"/>
  <c r="M25" i="29"/>
  <c r="V25" i="29"/>
  <c r="Z25" i="29"/>
  <c r="W25" i="29"/>
  <c r="AA25" i="29"/>
  <c r="L25" i="29"/>
  <c r="T15" i="29"/>
  <c r="X15" i="29"/>
  <c r="L15" i="29"/>
  <c r="U15" i="29"/>
  <c r="Y15" i="29"/>
  <c r="V15" i="29"/>
  <c r="Z15" i="29"/>
  <c r="W15" i="29"/>
  <c r="AA15" i="29"/>
  <c r="S15" i="29"/>
  <c r="R15" i="29"/>
  <c r="Q15" i="29"/>
  <c r="P15" i="29"/>
  <c r="N15" i="29"/>
  <c r="O15" i="29"/>
  <c r="M15" i="29"/>
  <c r="D73" i="29"/>
  <c r="C42" i="31" s="1"/>
  <c r="D42" i="31" s="1"/>
  <c r="E42" i="31"/>
  <c r="D47" i="29"/>
  <c r="C16" i="31" s="1"/>
  <c r="E16" i="31"/>
  <c r="Z68" i="29"/>
  <c r="X58" i="29"/>
  <c r="Y58" i="29" s="1"/>
  <c r="K10" i="29"/>
  <c r="F82" i="29"/>
  <c r="E82" i="29"/>
  <c r="E51" i="31" s="1"/>
  <c r="D82" i="29"/>
  <c r="C51" i="31" s="1"/>
  <c r="W56" i="29"/>
  <c r="U56" i="29"/>
  <c r="X69" i="29"/>
  <c r="Y69" i="29" s="1"/>
  <c r="F74" i="29"/>
  <c r="E74" i="29"/>
  <c r="F84" i="29"/>
  <c r="E84" i="29"/>
  <c r="U62" i="29"/>
  <c r="W62" i="29"/>
  <c r="AA78" i="29"/>
  <c r="AA68" i="29"/>
  <c r="F83" i="29"/>
  <c r="E83" i="29"/>
  <c r="X68" i="29"/>
  <c r="Y68" i="29" s="1"/>
  <c r="F85" i="29"/>
  <c r="E85" i="29"/>
  <c r="W72" i="29"/>
  <c r="U72" i="29"/>
  <c r="C49" i="29"/>
  <c r="F48" i="29"/>
  <c r="E48" i="29"/>
  <c r="AA57" i="29"/>
  <c r="F81" i="29"/>
  <c r="E81" i="29"/>
  <c r="E50" i="31" s="1"/>
  <c r="X57" i="29"/>
  <c r="Y57" i="29" s="1"/>
  <c r="Z57" i="29"/>
  <c r="F75" i="29"/>
  <c r="E75" i="29"/>
  <c r="F86" i="29"/>
  <c r="E86" i="29"/>
  <c r="AA73" i="29"/>
  <c r="F76" i="29"/>
  <c r="E76" i="29"/>
  <c r="E45" i="31" s="1"/>
  <c r="D76" i="29"/>
  <c r="C45" i="31" s="1"/>
  <c r="D45" i="31" s="1"/>
  <c r="F87" i="29"/>
  <c r="E87" i="29"/>
  <c r="D87" i="29" s="1"/>
  <c r="Z78" i="29"/>
  <c r="Z73" i="29"/>
  <c r="X73" i="29"/>
  <c r="Y73" i="29" s="1"/>
  <c r="U61" i="29"/>
  <c r="W61" i="29"/>
  <c r="F77" i="29"/>
  <c r="E77" i="29"/>
  <c r="W78" i="29"/>
  <c r="U78" i="29"/>
  <c r="F78" i="29"/>
  <c r="E78" i="29"/>
  <c r="T73" i="29"/>
  <c r="Z63" i="29"/>
  <c r="F79" i="29"/>
  <c r="E79" i="29"/>
  <c r="U77" i="29"/>
  <c r="W77" i="29"/>
  <c r="W57" i="29"/>
  <c r="U57" i="29"/>
  <c r="T68" i="29"/>
  <c r="F80" i="29"/>
  <c r="E80" i="29"/>
  <c r="E49" i="31" s="1"/>
  <c r="D80" i="29"/>
  <c r="C49" i="31" s="1"/>
  <c r="D49" i="31" s="1"/>
  <c r="AA63" i="29"/>
  <c r="T63" i="29"/>
  <c r="D30" i="16"/>
  <c r="C56" i="13" s="1"/>
  <c r="AA35" i="26"/>
  <c r="D81" i="29" l="1"/>
  <c r="C50" i="31" s="1"/>
  <c r="D50" i="31" s="1"/>
  <c r="T10" i="29"/>
  <c r="X10" i="29"/>
  <c r="U10" i="29"/>
  <c r="Y10" i="29"/>
  <c r="P10" i="29"/>
  <c r="V10" i="29"/>
  <c r="Z10" i="29"/>
  <c r="S10" i="29"/>
  <c r="R10" i="29"/>
  <c r="Q10" i="29"/>
  <c r="W10" i="29"/>
  <c r="AA10" i="29"/>
  <c r="O10" i="29"/>
  <c r="M10" i="29"/>
  <c r="N10" i="29"/>
  <c r="L10" i="29"/>
  <c r="D78" i="29"/>
  <c r="C47" i="31" s="1"/>
  <c r="D47" i="31" s="1"/>
  <c r="E47" i="31"/>
  <c r="D83" i="29"/>
  <c r="C52" i="31" s="1"/>
  <c r="E52" i="31"/>
  <c r="D86" i="29"/>
  <c r="C55" i="31" s="1"/>
  <c r="E55" i="31"/>
  <c r="D79" i="29"/>
  <c r="C48" i="31" s="1"/>
  <c r="D48" i="31" s="1"/>
  <c r="E48" i="31"/>
  <c r="D85" i="29"/>
  <c r="C54" i="31" s="1"/>
  <c r="E54" i="31"/>
  <c r="D77" i="29"/>
  <c r="C46" i="31" s="1"/>
  <c r="D46" i="31" s="1"/>
  <c r="E46" i="31"/>
  <c r="D84" i="29"/>
  <c r="C53" i="31" s="1"/>
  <c r="E53" i="31"/>
  <c r="D75" i="29"/>
  <c r="C44" i="31" s="1"/>
  <c r="D44" i="31" s="1"/>
  <c r="E44" i="31"/>
  <c r="D74" i="29"/>
  <c r="C43" i="31" s="1"/>
  <c r="D43" i="31" s="1"/>
  <c r="E43" i="31"/>
  <c r="D48" i="29"/>
  <c r="C17" i="31" s="1"/>
  <c r="E17" i="31"/>
  <c r="AA69" i="29"/>
  <c r="Z79" i="29"/>
  <c r="T58" i="29"/>
  <c r="AA74" i="29"/>
  <c r="T69" i="29"/>
  <c r="W73" i="29"/>
  <c r="U73" i="29"/>
  <c r="AA64" i="29"/>
  <c r="T64" i="29"/>
  <c r="W63" i="29"/>
  <c r="U63" i="29"/>
  <c r="T79" i="29"/>
  <c r="W68" i="29"/>
  <c r="U68" i="29"/>
  <c r="Z74" i="29"/>
  <c r="C50" i="29"/>
  <c r="F49" i="29"/>
  <c r="E49" i="29"/>
  <c r="X79" i="29"/>
  <c r="Y79" i="29" s="1"/>
  <c r="Z69" i="29"/>
  <c r="X64" i="29"/>
  <c r="Y64" i="29" s="1"/>
  <c r="AA79" i="29"/>
  <c r="T74" i="29"/>
  <c r="Z64" i="29"/>
  <c r="AA58" i="29"/>
  <c r="X74" i="29"/>
  <c r="Y74" i="29" s="1"/>
  <c r="D49" i="29" l="1"/>
  <c r="E18" i="31"/>
  <c r="W69" i="29"/>
  <c r="U69" i="29"/>
  <c r="Z59" i="29"/>
  <c r="W58" i="29"/>
  <c r="U58" i="29"/>
  <c r="AA59" i="29"/>
  <c r="W74" i="29"/>
  <c r="U74" i="29"/>
  <c r="W79" i="29"/>
  <c r="U79" i="29"/>
  <c r="F50" i="29"/>
  <c r="E50" i="29"/>
  <c r="C51" i="29"/>
  <c r="T59" i="29"/>
  <c r="X59" i="29"/>
  <c r="Y59" i="29" s="1"/>
  <c r="W64" i="29"/>
  <c r="U64" i="29"/>
  <c r="G13" i="27"/>
  <c r="B14" i="27"/>
  <c r="A14" i="27" s="1"/>
  <c r="A13" i="27"/>
  <c r="I11" i="27"/>
  <c r="H11" i="27"/>
  <c r="C8" i="27"/>
  <c r="C5" i="27"/>
  <c r="F39" i="26"/>
  <c r="F43" i="26" s="1"/>
  <c r="F40" i="26"/>
  <c r="F44" i="26" s="1"/>
  <c r="I48" i="26"/>
  <c r="J48" i="26" s="1"/>
  <c r="F52" i="26" s="1"/>
  <c r="M48" i="26"/>
  <c r="N48" i="26" s="1"/>
  <c r="I52" i="26" s="1"/>
  <c r="I49" i="26"/>
  <c r="J49" i="26" s="1"/>
  <c r="F53" i="26" s="1"/>
  <c r="M49" i="26"/>
  <c r="N49" i="26" s="1"/>
  <c r="C18" i="31" l="1"/>
  <c r="D50" i="29"/>
  <c r="E19" i="31"/>
  <c r="F14" i="27"/>
  <c r="D14" i="27"/>
  <c r="W59" i="29"/>
  <c r="U59" i="29"/>
  <c r="C52" i="29"/>
  <c r="F51" i="29"/>
  <c r="E51" i="29"/>
  <c r="I53" i="26"/>
  <c r="I67" i="26" s="1"/>
  <c r="I80" i="26" s="1"/>
  <c r="I13" i="27"/>
  <c r="H13" i="27"/>
  <c r="B15" i="27"/>
  <c r="A15" i="27" s="1"/>
  <c r="I57" i="26"/>
  <c r="I63" i="26" s="1"/>
  <c r="I75" i="26" s="1"/>
  <c r="I66" i="26"/>
  <c r="I79" i="26" s="1"/>
  <c r="I56" i="26"/>
  <c r="I62" i="26" s="1"/>
  <c r="I74" i="26" s="1"/>
  <c r="F19" i="23"/>
  <c r="E19" i="23"/>
  <c r="A64" i="23"/>
  <c r="A65" i="23"/>
  <c r="A66" i="23"/>
  <c r="A67" i="23"/>
  <c r="D67" i="23" s="1"/>
  <c r="F67" i="23" s="1"/>
  <c r="A68" i="23"/>
  <c r="D68" i="23" s="1"/>
  <c r="E68" i="23" s="1"/>
  <c r="A69" i="23"/>
  <c r="D69" i="23" s="1"/>
  <c r="F69" i="23" s="1"/>
  <c r="A70" i="23"/>
  <c r="D70" i="23" s="1"/>
  <c r="F70" i="23" s="1"/>
  <c r="A71" i="23"/>
  <c r="D71" i="23" s="1"/>
  <c r="F71" i="23" s="1"/>
  <c r="A63" i="23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D36" i="23" s="1"/>
  <c r="F36" i="23" s="1"/>
  <c r="A35" i="23"/>
  <c r="D35" i="23" s="1"/>
  <c r="A34" i="23"/>
  <c r="D34" i="23" s="1"/>
  <c r="A33" i="23"/>
  <c r="D33" i="23" s="1"/>
  <c r="E33" i="23" s="1"/>
  <c r="A32" i="23"/>
  <c r="D32" i="23" s="1"/>
  <c r="E32" i="23" s="1"/>
  <c r="A31" i="23"/>
  <c r="D31" i="23" s="1"/>
  <c r="E31" i="23" s="1"/>
  <c r="A30" i="23"/>
  <c r="D30" i="23" s="1"/>
  <c r="F30" i="23" s="1"/>
  <c r="A29" i="23"/>
  <c r="D29" i="23" s="1"/>
  <c r="A28" i="23"/>
  <c r="D28" i="23" s="1"/>
  <c r="A27" i="23"/>
  <c r="D27" i="23" s="1"/>
  <c r="A26" i="23"/>
  <c r="D26" i="23" s="1"/>
  <c r="F26" i="23" s="1"/>
  <c r="A25" i="23"/>
  <c r="D25" i="23" s="1"/>
  <c r="F25" i="23" s="1"/>
  <c r="A24" i="23"/>
  <c r="D24" i="23" s="1"/>
  <c r="E24" i="23" s="1"/>
  <c r="A23" i="23"/>
  <c r="D23" i="23" s="1"/>
  <c r="E23" i="23" s="1"/>
  <c r="A22" i="23"/>
  <c r="D22" i="23" s="1"/>
  <c r="F22" i="23" s="1"/>
  <c r="A21" i="23"/>
  <c r="D21" i="23" s="1"/>
  <c r="E21" i="23" s="1"/>
  <c r="A15" i="19"/>
  <c r="E8" i="23"/>
  <c r="D8" i="23"/>
  <c r="C21" i="23"/>
  <c r="C19" i="31" l="1"/>
  <c r="D51" i="29"/>
  <c r="C20" i="31" s="1"/>
  <c r="E20" i="31"/>
  <c r="G14" i="27"/>
  <c r="D15" i="27"/>
  <c r="F15" i="27"/>
  <c r="E67" i="23"/>
  <c r="I14" i="27"/>
  <c r="H14" i="27"/>
  <c r="C53" i="29"/>
  <c r="F52" i="29"/>
  <c r="E52" i="29"/>
  <c r="E21" i="31" s="1"/>
  <c r="I76" i="26"/>
  <c r="C14" i="27" s="1"/>
  <c r="I81" i="26"/>
  <c r="E14" i="27" s="1"/>
  <c r="B16" i="27"/>
  <c r="A16" i="27" s="1"/>
  <c r="F34" i="23"/>
  <c r="E34" i="23"/>
  <c r="E35" i="23"/>
  <c r="F35" i="23"/>
  <c r="F23" i="23"/>
  <c r="E22" i="23"/>
  <c r="F27" i="23"/>
  <c r="E27" i="23"/>
  <c r="E28" i="23"/>
  <c r="F28" i="23"/>
  <c r="F29" i="23"/>
  <c r="E29" i="23"/>
  <c r="F33" i="23"/>
  <c r="E30" i="23"/>
  <c r="E36" i="23"/>
  <c r="F32" i="23"/>
  <c r="F31" i="23"/>
  <c r="F24" i="23"/>
  <c r="E26" i="23"/>
  <c r="F21" i="23"/>
  <c r="E25" i="23"/>
  <c r="F68" i="23"/>
  <c r="E71" i="23"/>
  <c r="E70" i="23"/>
  <c r="E69" i="23"/>
  <c r="C22" i="23"/>
  <c r="A35" i="7"/>
  <c r="A23" i="20"/>
  <c r="A17" i="18"/>
  <c r="A34" i="2"/>
  <c r="A13" i="17"/>
  <c r="A16" i="1"/>
  <c r="D3" i="21"/>
  <c r="C3" i="21"/>
  <c r="T80" i="8"/>
  <c r="T75" i="8"/>
  <c r="T70" i="8"/>
  <c r="T65" i="8"/>
  <c r="T60" i="8"/>
  <c r="T55" i="8"/>
  <c r="T54" i="8"/>
  <c r="U54" i="8" s="1"/>
  <c r="X80" i="8"/>
  <c r="X75" i="8"/>
  <c r="X70" i="8"/>
  <c r="X65" i="8"/>
  <c r="X60" i="8"/>
  <c r="X55" i="8"/>
  <c r="X54" i="8"/>
  <c r="Y54" i="8" s="1"/>
  <c r="D52" i="29" l="1"/>
  <c r="C21" i="31" s="1"/>
  <c r="D21" i="31" s="1"/>
  <c r="D16" i="27"/>
  <c r="F16" i="27"/>
  <c r="G15" i="27"/>
  <c r="F53" i="29"/>
  <c r="E53" i="29"/>
  <c r="C54" i="29"/>
  <c r="B17" i="27"/>
  <c r="B18" i="27"/>
  <c r="A17" i="27"/>
  <c r="C23" i="23"/>
  <c r="D53" i="29" l="1"/>
  <c r="C22" i="31" s="1"/>
  <c r="D22" i="31" s="1"/>
  <c r="E22" i="31"/>
  <c r="D17" i="27"/>
  <c r="F17" i="27"/>
  <c r="I15" i="27"/>
  <c r="H15" i="27"/>
  <c r="G16" i="27"/>
  <c r="F54" i="29"/>
  <c r="E54" i="29"/>
  <c r="E23" i="31" s="1"/>
  <c r="C55" i="29"/>
  <c r="A18" i="27"/>
  <c r="B19" i="27"/>
  <c r="C24" i="23"/>
  <c r="N4" i="15"/>
  <c r="M20" i="15"/>
  <c r="M19" i="15"/>
  <c r="M18" i="15"/>
  <c r="M17" i="15"/>
  <c r="N17" i="15" s="1"/>
  <c r="C2" i="12"/>
  <c r="AA80" i="8"/>
  <c r="AA75" i="8"/>
  <c r="AA70" i="8"/>
  <c r="AA65" i="8"/>
  <c r="AA60" i="8"/>
  <c r="AA55" i="8"/>
  <c r="AA54" i="8"/>
  <c r="Z80" i="8"/>
  <c r="Z75" i="8"/>
  <c r="Z70" i="8"/>
  <c r="Z65" i="8"/>
  <c r="Z60" i="8"/>
  <c r="Z55" i="8"/>
  <c r="Z54" i="8"/>
  <c r="D54" i="29" l="1"/>
  <c r="C23" i="31" s="1"/>
  <c r="D23" i="31" s="1"/>
  <c r="H16" i="27"/>
  <c r="I16" i="27"/>
  <c r="F18" i="27"/>
  <c r="D18" i="27"/>
  <c r="G17" i="27"/>
  <c r="F55" i="29"/>
  <c r="E55" i="29"/>
  <c r="C56" i="29"/>
  <c r="B20" i="27"/>
  <c r="A19" i="27"/>
  <c r="C25" i="23"/>
  <c r="M21" i="15"/>
  <c r="D55" i="29" l="1"/>
  <c r="C24" i="31" s="1"/>
  <c r="D24" i="31" s="1"/>
  <c r="E24" i="31"/>
  <c r="G18" i="27"/>
  <c r="H18" i="27" s="1"/>
  <c r="F19" i="27"/>
  <c r="D19" i="27"/>
  <c r="H17" i="27"/>
  <c r="I17" i="27"/>
  <c r="F56" i="29"/>
  <c r="E56" i="29"/>
  <c r="C57" i="29"/>
  <c r="A20" i="27"/>
  <c r="B21" i="27"/>
  <c r="C26" i="23"/>
  <c r="K21" i="15"/>
  <c r="K12" i="15"/>
  <c r="M11" i="15"/>
  <c r="M10" i="15"/>
  <c r="M9" i="15"/>
  <c r="M8" i="15"/>
  <c r="M12" i="15" s="1"/>
  <c r="G19" i="27" l="1"/>
  <c r="D56" i="29"/>
  <c r="C25" i="31" s="1"/>
  <c r="D25" i="31" s="1"/>
  <c r="E25" i="31"/>
  <c r="I18" i="27"/>
  <c r="D20" i="27"/>
  <c r="F20" i="27"/>
  <c r="I19" i="27"/>
  <c r="H19" i="27"/>
  <c r="F57" i="29"/>
  <c r="E57" i="29"/>
  <c r="E26" i="31" s="1"/>
  <c r="C58" i="29"/>
  <c r="A21" i="27"/>
  <c r="B22" i="27"/>
  <c r="C27" i="23"/>
  <c r="C4" i="22"/>
  <c r="C21" i="15"/>
  <c r="E20" i="15"/>
  <c r="E19" i="15"/>
  <c r="E18" i="15"/>
  <c r="E17" i="15"/>
  <c r="C12" i="15"/>
  <c r="E9" i="15"/>
  <c r="E10" i="15"/>
  <c r="E11" i="15"/>
  <c r="E8" i="15"/>
  <c r="D57" i="29" l="1"/>
  <c r="C26" i="31" s="1"/>
  <c r="D26" i="31" s="1"/>
  <c r="G20" i="27"/>
  <c r="F58" i="29"/>
  <c r="E58" i="29"/>
  <c r="C59" i="29"/>
  <c r="B23" i="27"/>
  <c r="A22" i="27"/>
  <c r="C28" i="23"/>
  <c r="E12" i="15"/>
  <c r="E21" i="15"/>
  <c r="F3" i="15"/>
  <c r="D58" i="29" l="1"/>
  <c r="C27" i="31" s="1"/>
  <c r="D27" i="31" s="1"/>
  <c r="E27" i="31"/>
  <c r="I20" i="27"/>
  <c r="H20" i="27"/>
  <c r="F59" i="29"/>
  <c r="E59" i="29"/>
  <c r="E28" i="31" s="1"/>
  <c r="C60" i="29"/>
  <c r="A23" i="27"/>
  <c r="B24" i="27"/>
  <c r="C29" i="23"/>
  <c r="F10" i="15"/>
  <c r="F19" i="15"/>
  <c r="F17" i="15"/>
  <c r="F11" i="15"/>
  <c r="F18" i="15"/>
  <c r="F9" i="15"/>
  <c r="F8" i="15"/>
  <c r="F20" i="15"/>
  <c r="D59" i="29" l="1"/>
  <c r="C28" i="31" s="1"/>
  <c r="D28" i="31" s="1"/>
  <c r="F60" i="29"/>
  <c r="E60" i="29"/>
  <c r="C61" i="29"/>
  <c r="B25" i="27"/>
  <c r="A24" i="27"/>
  <c r="C30" i="23"/>
  <c r="N10" i="15"/>
  <c r="N9" i="15"/>
  <c r="N19" i="15"/>
  <c r="N8" i="15"/>
  <c r="N11" i="15"/>
  <c r="N20" i="15"/>
  <c r="N18" i="15"/>
  <c r="F21" i="15"/>
  <c r="F12" i="15"/>
  <c r="D60" i="29" l="1"/>
  <c r="C29" i="31" s="1"/>
  <c r="D29" i="31" s="1"/>
  <c r="E29" i="31"/>
  <c r="F61" i="29"/>
  <c r="E61" i="29"/>
  <c r="E30" i="31" s="1"/>
  <c r="C62" i="29"/>
  <c r="A25" i="27"/>
  <c r="B26" i="27"/>
  <c r="C31" i="23"/>
  <c r="N12" i="15"/>
  <c r="D19" i="16" s="1"/>
  <c r="C8" i="22" s="1"/>
  <c r="N21" i="15"/>
  <c r="D18" i="16" s="1"/>
  <c r="D24" i="16"/>
  <c r="D61" i="29" l="1"/>
  <c r="C30" i="31" s="1"/>
  <c r="D30" i="31" s="1"/>
  <c r="F62" i="29"/>
  <c r="E62" i="29"/>
  <c r="C63" i="29"/>
  <c r="B27" i="27"/>
  <c r="A26" i="27"/>
  <c r="C32" i="23"/>
  <c r="A56" i="22"/>
  <c r="A55" i="22"/>
  <c r="A54" i="22"/>
  <c r="A53" i="22"/>
  <c r="A52" i="22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C19" i="22" s="1"/>
  <c r="A18" i="22"/>
  <c r="C18" i="22" s="1"/>
  <c r="A17" i="22"/>
  <c r="A16" i="22"/>
  <c r="A15" i="22"/>
  <c r="C15" i="22" s="1"/>
  <c r="A14" i="22"/>
  <c r="A13" i="2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D62" i="29" l="1"/>
  <c r="C31" i="31" s="1"/>
  <c r="D31" i="31" s="1"/>
  <c r="E31" i="31"/>
  <c r="F63" i="29"/>
  <c r="E63" i="29"/>
  <c r="C64" i="29"/>
  <c r="A27" i="27"/>
  <c r="B28" i="27"/>
  <c r="C33" i="23"/>
  <c r="C16" i="22"/>
  <c r="C17" i="22"/>
  <c r="C51" i="22"/>
  <c r="C52" i="22"/>
  <c r="C53" i="22"/>
  <c r="C54" i="22"/>
  <c r="C13" i="22"/>
  <c r="C55" i="22"/>
  <c r="C14" i="22"/>
  <c r="D63" i="29" l="1"/>
  <c r="C32" i="31" s="1"/>
  <c r="D32" i="31" s="1"/>
  <c r="E32" i="31"/>
  <c r="F64" i="29"/>
  <c r="E64" i="29"/>
  <c r="C65" i="29"/>
  <c r="A28" i="27"/>
  <c r="B29" i="27"/>
  <c r="C34" i="23"/>
  <c r="C41" i="13"/>
  <c r="B2" i="21"/>
  <c r="D64" i="29" l="1"/>
  <c r="C33" i="31" s="1"/>
  <c r="D33" i="31" s="1"/>
  <c r="E33" i="31"/>
  <c r="F65" i="29"/>
  <c r="E65" i="29"/>
  <c r="C66" i="29"/>
  <c r="B30" i="27"/>
  <c r="A29" i="27"/>
  <c r="C35" i="23"/>
  <c r="H56" i="13"/>
  <c r="D65" i="29" l="1"/>
  <c r="C34" i="31" s="1"/>
  <c r="D34" i="31" s="1"/>
  <c r="E34" i="31"/>
  <c r="F66" i="29"/>
  <c r="E66" i="29"/>
  <c r="C67" i="29"/>
  <c r="A30" i="27"/>
  <c r="B31" i="27"/>
  <c r="C36" i="23"/>
  <c r="C5" i="22"/>
  <c r="D66" i="29" l="1"/>
  <c r="C35" i="31" s="1"/>
  <c r="D35" i="31" s="1"/>
  <c r="E35" i="31"/>
  <c r="E67" i="29"/>
  <c r="C68" i="29"/>
  <c r="F67" i="29"/>
  <c r="B32" i="27"/>
  <c r="A31" i="27"/>
  <c r="C37" i="23"/>
  <c r="D37" i="23" s="1"/>
  <c r="E11" i="22"/>
  <c r="D11" i="22"/>
  <c r="C10" i="22"/>
  <c r="C6" i="22"/>
  <c r="C20" i="22" l="1"/>
  <c r="C30" i="22"/>
  <c r="D67" i="29"/>
  <c r="C36" i="31" s="1"/>
  <c r="D36" i="31" s="1"/>
  <c r="E36" i="31"/>
  <c r="C69" i="29"/>
  <c r="F68" i="29"/>
  <c r="E68" i="29"/>
  <c r="A32" i="27"/>
  <c r="B33" i="27"/>
  <c r="F37" i="23"/>
  <c r="E37" i="23"/>
  <c r="C38" i="23"/>
  <c r="D38" i="23" s="1"/>
  <c r="C48" i="22"/>
  <c r="C36" i="22"/>
  <c r="C24" i="22"/>
  <c r="C29" i="22"/>
  <c r="C47" i="22"/>
  <c r="C35" i="22"/>
  <c r="C23" i="22"/>
  <c r="C41" i="22"/>
  <c r="C46" i="22"/>
  <c r="C34" i="22"/>
  <c r="C22" i="22"/>
  <c r="C45" i="22"/>
  <c r="C33" i="22"/>
  <c r="C21" i="22"/>
  <c r="C44" i="22"/>
  <c r="C32" i="22"/>
  <c r="C43" i="22"/>
  <c r="C31" i="22"/>
  <c r="C42" i="22"/>
  <c r="C40" i="22"/>
  <c r="C28" i="22"/>
  <c r="C37" i="22"/>
  <c r="C39" i="22"/>
  <c r="C27" i="22"/>
  <c r="C25" i="22"/>
  <c r="C50" i="22"/>
  <c r="C38" i="22"/>
  <c r="C26" i="22"/>
  <c r="C49" i="22"/>
  <c r="C8" i="12"/>
  <c r="E13" i="12"/>
  <c r="D13" i="12"/>
  <c r="C16" i="12"/>
  <c r="K58" i="13"/>
  <c r="E58" i="13"/>
  <c r="K57" i="13"/>
  <c r="D57" i="13"/>
  <c r="D56" i="13"/>
  <c r="D68" i="29" l="1"/>
  <c r="C37" i="31" s="1"/>
  <c r="D37" i="31" s="1"/>
  <c r="E37" i="31"/>
  <c r="F69" i="29"/>
  <c r="E69" i="29"/>
  <c r="E38" i="31" s="1"/>
  <c r="C70" i="29"/>
  <c r="A33" i="27"/>
  <c r="B34" i="27"/>
  <c r="F38" i="23"/>
  <c r="E38" i="23"/>
  <c r="C39" i="23"/>
  <c r="D39" i="23" s="1"/>
  <c r="E56" i="13"/>
  <c r="C44" i="12"/>
  <c r="C34" i="12"/>
  <c r="E57" i="13"/>
  <c r="D69" i="29" l="1"/>
  <c r="C38" i="31" s="1"/>
  <c r="D38" i="31" s="1"/>
  <c r="F70" i="29"/>
  <c r="E70" i="29"/>
  <c r="C71" i="29"/>
  <c r="A34" i="27"/>
  <c r="B35" i="27"/>
  <c r="F39" i="23"/>
  <c r="E39" i="23"/>
  <c r="C40" i="23"/>
  <c r="D40" i="23" s="1"/>
  <c r="E59" i="13"/>
  <c r="D70" i="29" l="1"/>
  <c r="C39" i="31" s="1"/>
  <c r="D39" i="31" s="1"/>
  <c r="E39" i="31"/>
  <c r="F71" i="29"/>
  <c r="E71" i="29"/>
  <c r="E40" i="31" s="1"/>
  <c r="C72" i="29"/>
  <c r="A35" i="27"/>
  <c r="B36" i="27"/>
  <c r="F40" i="23"/>
  <c r="E40" i="23"/>
  <c r="C41" i="23"/>
  <c r="D41" i="23" s="1"/>
  <c r="I56" i="13"/>
  <c r="J56" i="13" s="1"/>
  <c r="D71" i="29" l="1"/>
  <c r="C40" i="31" s="1"/>
  <c r="D40" i="31" s="1"/>
  <c r="F72" i="29"/>
  <c r="E72" i="29"/>
  <c r="E41" i="31" s="1"/>
  <c r="B37" i="27"/>
  <c r="A36" i="27"/>
  <c r="E41" i="23"/>
  <c r="F41" i="23"/>
  <c r="C42" i="23"/>
  <c r="D42" i="23" s="1"/>
  <c r="C50" i="13"/>
  <c r="D72" i="29" l="1"/>
  <c r="C41" i="31" s="1"/>
  <c r="D41" i="31" s="1"/>
  <c r="A37" i="27"/>
  <c r="B38" i="27"/>
  <c r="F42" i="23"/>
  <c r="E42" i="23"/>
  <c r="C43" i="23"/>
  <c r="D43" i="23" s="1"/>
  <c r="C16" i="19"/>
  <c r="I13" i="19"/>
  <c r="H13" i="19"/>
  <c r="B39" i="27" l="1"/>
  <c r="A38" i="27"/>
  <c r="E43" i="23"/>
  <c r="F43" i="23"/>
  <c r="C44" i="23"/>
  <c r="D44" i="23" s="1"/>
  <c r="I15" i="18"/>
  <c r="H15" i="18"/>
  <c r="G32" i="2"/>
  <c r="F32" i="2"/>
  <c r="A39" i="27" l="1"/>
  <c r="B40" i="27"/>
  <c r="E44" i="23"/>
  <c r="F44" i="23"/>
  <c r="C45" i="23"/>
  <c r="D45" i="23" s="1"/>
  <c r="F11" i="17"/>
  <c r="E11" i="17"/>
  <c r="G14" i="1"/>
  <c r="F14" i="1"/>
  <c r="A40" i="27" l="1"/>
  <c r="B41" i="27"/>
  <c r="E45" i="23"/>
  <c r="F45" i="23"/>
  <c r="C46" i="23"/>
  <c r="D46" i="23" s="1"/>
  <c r="S76" i="8"/>
  <c r="S77" i="8" s="1"/>
  <c r="S78" i="8" s="1"/>
  <c r="S79" i="8" s="1"/>
  <c r="S71" i="8"/>
  <c r="S72" i="8" s="1"/>
  <c r="S73" i="8" s="1"/>
  <c r="S74" i="8" s="1"/>
  <c r="S66" i="8"/>
  <c r="S67" i="8" s="1"/>
  <c r="S68" i="8" s="1"/>
  <c r="S69" i="8" s="1"/>
  <c r="S61" i="8"/>
  <c r="S62" i="8" s="1"/>
  <c r="S63" i="8" s="1"/>
  <c r="S64" i="8" s="1"/>
  <c r="S56" i="8"/>
  <c r="S57" i="8" s="1"/>
  <c r="S58" i="8" s="1"/>
  <c r="S59" i="8" s="1"/>
  <c r="E42" i="19"/>
  <c r="C42" i="19"/>
  <c r="Y80" i="8"/>
  <c r="V80" i="8"/>
  <c r="V95" i="8" s="1"/>
  <c r="V79" i="8"/>
  <c r="V78" i="8"/>
  <c r="V77" i="8"/>
  <c r="V76" i="8"/>
  <c r="E37" i="19"/>
  <c r="C37" i="19"/>
  <c r="Y75" i="8"/>
  <c r="V75" i="8"/>
  <c r="V74" i="8"/>
  <c r="V73" i="8"/>
  <c r="V72" i="8"/>
  <c r="V71" i="8"/>
  <c r="E32" i="19"/>
  <c r="C32" i="19"/>
  <c r="Y70" i="8"/>
  <c r="V70" i="8"/>
  <c r="V69" i="8"/>
  <c r="V68" i="8"/>
  <c r="V67" i="8"/>
  <c r="V66" i="8"/>
  <c r="E27" i="19"/>
  <c r="C27" i="19"/>
  <c r="Y65" i="8"/>
  <c r="V65" i="8"/>
  <c r="V64" i="8"/>
  <c r="V63" i="8"/>
  <c r="V62" i="8"/>
  <c r="V61" i="8"/>
  <c r="E22" i="19"/>
  <c r="C22" i="19"/>
  <c r="Y60" i="8"/>
  <c r="V60" i="8"/>
  <c r="V59" i="8"/>
  <c r="V58" i="8"/>
  <c r="V57" i="8"/>
  <c r="V56" i="8"/>
  <c r="E17" i="19"/>
  <c r="C17" i="19"/>
  <c r="Y55" i="8"/>
  <c r="V55" i="8"/>
  <c r="E16" i="19"/>
  <c r="V54" i="8"/>
  <c r="W54" i="8" s="1"/>
  <c r="AA46" i="8"/>
  <c r="Z46" i="8"/>
  <c r="Y46" i="8"/>
  <c r="X46" i="8"/>
  <c r="W46" i="8"/>
  <c r="V46" i="8"/>
  <c r="U46" i="8"/>
  <c r="T46" i="8"/>
  <c r="AA45" i="8"/>
  <c r="Z45" i="8"/>
  <c r="Y45" i="8"/>
  <c r="X45" i="8"/>
  <c r="W45" i="8"/>
  <c r="V45" i="8"/>
  <c r="U45" i="8"/>
  <c r="T45" i="8"/>
  <c r="AA44" i="8"/>
  <c r="Z44" i="8"/>
  <c r="Y44" i="8"/>
  <c r="X44" i="8"/>
  <c r="W44" i="8"/>
  <c r="V44" i="8"/>
  <c r="U44" i="8"/>
  <c r="T44" i="8"/>
  <c r="AA43" i="8"/>
  <c r="Z43" i="8"/>
  <c r="Y43" i="8"/>
  <c r="X43" i="8"/>
  <c r="W43" i="8"/>
  <c r="V43" i="8"/>
  <c r="U43" i="8"/>
  <c r="T43" i="8"/>
  <c r="AA42" i="8"/>
  <c r="Z42" i="8"/>
  <c r="Y42" i="8"/>
  <c r="X42" i="8"/>
  <c r="W42" i="8"/>
  <c r="V42" i="8"/>
  <c r="U42" i="8"/>
  <c r="T42" i="8"/>
  <c r="AA41" i="8"/>
  <c r="Z41" i="8"/>
  <c r="Y41" i="8"/>
  <c r="X41" i="8"/>
  <c r="W41" i="8"/>
  <c r="V41" i="8"/>
  <c r="U41" i="8"/>
  <c r="T41" i="8"/>
  <c r="AA40" i="8"/>
  <c r="Z40" i="8"/>
  <c r="Y40" i="8"/>
  <c r="X40" i="8"/>
  <c r="W40" i="8"/>
  <c r="V40" i="8"/>
  <c r="U40" i="8"/>
  <c r="T40" i="8"/>
  <c r="AA39" i="8"/>
  <c r="Z39" i="8"/>
  <c r="Y39" i="8"/>
  <c r="X39" i="8"/>
  <c r="W39" i="8"/>
  <c r="V39" i="8"/>
  <c r="U39" i="8"/>
  <c r="T39" i="8"/>
  <c r="AA38" i="8"/>
  <c r="Z38" i="8"/>
  <c r="Y38" i="8"/>
  <c r="X38" i="8"/>
  <c r="W38" i="8"/>
  <c r="V38" i="8"/>
  <c r="U38" i="8"/>
  <c r="T38" i="8"/>
  <c r="AA37" i="8"/>
  <c r="Z37" i="8"/>
  <c r="Y37" i="8"/>
  <c r="X37" i="8"/>
  <c r="W37" i="8"/>
  <c r="V37" i="8"/>
  <c r="U37" i="8"/>
  <c r="T37" i="8"/>
  <c r="AA36" i="8"/>
  <c r="Z36" i="8"/>
  <c r="Y36" i="8"/>
  <c r="X36" i="8"/>
  <c r="W36" i="8"/>
  <c r="V36" i="8"/>
  <c r="U36" i="8"/>
  <c r="T36" i="8"/>
  <c r="AA35" i="8"/>
  <c r="Z35" i="8"/>
  <c r="Y35" i="8"/>
  <c r="X35" i="8"/>
  <c r="W35" i="8"/>
  <c r="V35" i="8"/>
  <c r="U35" i="8"/>
  <c r="T35" i="8"/>
  <c r="AA34" i="8"/>
  <c r="Z34" i="8"/>
  <c r="Y34" i="8"/>
  <c r="X34" i="8"/>
  <c r="W34" i="8"/>
  <c r="V34" i="8"/>
  <c r="U34" i="8"/>
  <c r="T34" i="8"/>
  <c r="AA33" i="8"/>
  <c r="Z33" i="8"/>
  <c r="Y33" i="8"/>
  <c r="X33" i="8"/>
  <c r="W33" i="8"/>
  <c r="V33" i="8"/>
  <c r="U33" i="8"/>
  <c r="T33" i="8"/>
  <c r="AA32" i="8"/>
  <c r="Z32" i="8"/>
  <c r="Y32" i="8"/>
  <c r="X32" i="8"/>
  <c r="W32" i="8"/>
  <c r="V32" i="8"/>
  <c r="U32" i="8"/>
  <c r="T32" i="8"/>
  <c r="B42" i="27" l="1"/>
  <c r="A41" i="27"/>
  <c r="E46" i="23"/>
  <c r="F46" i="23"/>
  <c r="C47" i="23"/>
  <c r="D47" i="23" s="1"/>
  <c r="W65" i="8"/>
  <c r="W80" i="8"/>
  <c r="W82" i="8" s="1"/>
  <c r="V88" i="8"/>
  <c r="V91" i="8"/>
  <c r="V81" i="8"/>
  <c r="W55" i="8"/>
  <c r="V94" i="8"/>
  <c r="W60" i="8"/>
  <c r="V84" i="8"/>
  <c r="W70" i="8"/>
  <c r="V87" i="8"/>
  <c r="W75" i="8"/>
  <c r="V82" i="8"/>
  <c r="V90" i="8"/>
  <c r="V85" i="8"/>
  <c r="V93" i="8"/>
  <c r="W84" i="8"/>
  <c r="Y95" i="8"/>
  <c r="Y92" i="8"/>
  <c r="Y89" i="8"/>
  <c r="Y86" i="8"/>
  <c r="Y83" i="8"/>
  <c r="Y93" i="8"/>
  <c r="Y90" i="8"/>
  <c r="Y87" i="8"/>
  <c r="Y84" i="8"/>
  <c r="Y81" i="8"/>
  <c r="Y94" i="8"/>
  <c r="Y91" i="8"/>
  <c r="Y88" i="8"/>
  <c r="Y85" i="8"/>
  <c r="Y82" i="8"/>
  <c r="U60" i="8"/>
  <c r="U75" i="8"/>
  <c r="U65" i="8"/>
  <c r="U80" i="8"/>
  <c r="V83" i="8"/>
  <c r="V86" i="8"/>
  <c r="V89" i="8"/>
  <c r="V92" i="8"/>
  <c r="U55" i="8"/>
  <c r="U70" i="8"/>
  <c r="A42" i="27" l="1"/>
  <c r="B43" i="27"/>
  <c r="F47" i="23"/>
  <c r="E47" i="23"/>
  <c r="C48" i="23"/>
  <c r="D48" i="23" s="1"/>
  <c r="W81" i="8"/>
  <c r="W91" i="8"/>
  <c r="W94" i="8"/>
  <c r="W88" i="8"/>
  <c r="W87" i="8"/>
  <c r="W90" i="8"/>
  <c r="W93" i="8"/>
  <c r="W83" i="8"/>
  <c r="W92" i="8"/>
  <c r="W85" i="8"/>
  <c r="W86" i="8"/>
  <c r="W89" i="8"/>
  <c r="W95" i="8"/>
  <c r="U94" i="8"/>
  <c r="U91" i="8"/>
  <c r="U88" i="8"/>
  <c r="U85" i="8"/>
  <c r="U82" i="8"/>
  <c r="U95" i="8"/>
  <c r="U92" i="8"/>
  <c r="U89" i="8"/>
  <c r="U86" i="8"/>
  <c r="U83" i="8"/>
  <c r="U93" i="8"/>
  <c r="U90" i="8"/>
  <c r="U87" i="8"/>
  <c r="U84" i="8"/>
  <c r="U81" i="8"/>
  <c r="B44" i="27" l="1"/>
  <c r="A43" i="27"/>
  <c r="F48" i="23"/>
  <c r="E48" i="23"/>
  <c r="C49" i="23"/>
  <c r="F13" i="20"/>
  <c r="A44" i="27" l="1"/>
  <c r="B45" i="27"/>
  <c r="D49" i="23"/>
  <c r="C50" i="23"/>
  <c r="D50" i="23" s="1"/>
  <c r="G8" i="20"/>
  <c r="G9" i="20"/>
  <c r="G10" i="20"/>
  <c r="G11" i="20"/>
  <c r="G12" i="20"/>
  <c r="G6" i="20"/>
  <c r="C6" i="20"/>
  <c r="C7" i="20"/>
  <c r="C8" i="20"/>
  <c r="C9" i="20"/>
  <c r="C10" i="20"/>
  <c r="C11" i="20"/>
  <c r="C12" i="20"/>
  <c r="A45" i="27" l="1"/>
  <c r="B46" i="27"/>
  <c r="F49" i="23"/>
  <c r="E49" i="23"/>
  <c r="F50" i="23"/>
  <c r="E50" i="23"/>
  <c r="C51" i="23"/>
  <c r="D51" i="23" s="1"/>
  <c r="H10" i="20"/>
  <c r="H9" i="20"/>
  <c r="H8" i="20"/>
  <c r="H12" i="20"/>
  <c r="H11" i="20"/>
  <c r="E12" i="20"/>
  <c r="I12" i="20" s="1"/>
  <c r="E11" i="20"/>
  <c r="E6" i="20"/>
  <c r="H6" i="20"/>
  <c r="E10" i="20"/>
  <c r="E9" i="20"/>
  <c r="E8" i="20"/>
  <c r="I8" i="20" s="1"/>
  <c r="G7" i="20"/>
  <c r="G13" i="20" s="1"/>
  <c r="B47" i="27" l="1"/>
  <c r="A46" i="27"/>
  <c r="F51" i="23"/>
  <c r="E51" i="23"/>
  <c r="C52" i="23"/>
  <c r="D52" i="23" s="1"/>
  <c r="I10" i="20"/>
  <c r="I9" i="20"/>
  <c r="I11" i="20"/>
  <c r="C59" i="13"/>
  <c r="H7" i="20"/>
  <c r="H13" i="20" s="1"/>
  <c r="I6" i="20"/>
  <c r="D13" i="20"/>
  <c r="E7" i="20"/>
  <c r="A47" i="27" l="1"/>
  <c r="B48" i="27"/>
  <c r="E52" i="23"/>
  <c r="F52" i="23"/>
  <c r="C53" i="23"/>
  <c r="D53" i="23" s="1"/>
  <c r="E13" i="20"/>
  <c r="I7" i="20"/>
  <c r="I13" i="20" s="1"/>
  <c r="B49" i="27" l="1"/>
  <c r="A48" i="27"/>
  <c r="F53" i="23"/>
  <c r="E53" i="23"/>
  <c r="C54" i="23"/>
  <c r="D54" i="23" s="1"/>
  <c r="L46" i="8"/>
  <c r="M46" i="8"/>
  <c r="Z95" i="8" s="1"/>
  <c r="N46" i="8"/>
  <c r="T95" i="8" s="1"/>
  <c r="O46" i="8"/>
  <c r="P46" i="8"/>
  <c r="Q46" i="8"/>
  <c r="AA95" i="8" s="1"/>
  <c r="R46" i="8"/>
  <c r="X95" i="8" s="1"/>
  <c r="S46" i="8"/>
  <c r="L42" i="8"/>
  <c r="M42" i="8"/>
  <c r="N42" i="8"/>
  <c r="T91" i="8" s="1"/>
  <c r="O42" i="8"/>
  <c r="P42" i="8"/>
  <c r="Q42" i="8"/>
  <c r="AA91" i="8" s="1"/>
  <c r="R42" i="8"/>
  <c r="X91" i="8" s="1"/>
  <c r="S42" i="8"/>
  <c r="L43" i="8"/>
  <c r="M43" i="8"/>
  <c r="Z92" i="8" s="1"/>
  <c r="N43" i="8"/>
  <c r="T92" i="8" s="1"/>
  <c r="O43" i="8"/>
  <c r="P43" i="8"/>
  <c r="Q43" i="8"/>
  <c r="AA92" i="8" s="1"/>
  <c r="R43" i="8"/>
  <c r="X92" i="8" s="1"/>
  <c r="S43" i="8"/>
  <c r="L44" i="8"/>
  <c r="M44" i="8"/>
  <c r="Z93" i="8" s="1"/>
  <c r="N44" i="8"/>
  <c r="T93" i="8" s="1"/>
  <c r="O44" i="8"/>
  <c r="P44" i="8"/>
  <c r="Q44" i="8"/>
  <c r="AA93" i="8" s="1"/>
  <c r="R44" i="8"/>
  <c r="X93" i="8" s="1"/>
  <c r="S44" i="8"/>
  <c r="L45" i="8"/>
  <c r="M45" i="8"/>
  <c r="Z94" i="8" s="1"/>
  <c r="N45" i="8"/>
  <c r="T94" i="8" s="1"/>
  <c r="O45" i="8"/>
  <c r="P45" i="8"/>
  <c r="Q45" i="8"/>
  <c r="AA94" i="8" s="1"/>
  <c r="R45" i="8"/>
  <c r="X94" i="8" s="1"/>
  <c r="S45" i="8"/>
  <c r="A49" i="27" l="1"/>
  <c r="B50" i="27"/>
  <c r="F54" i="23"/>
  <c r="E54" i="23"/>
  <c r="C55" i="23"/>
  <c r="D55" i="23" s="1"/>
  <c r="Z91" i="8"/>
  <c r="E57" i="19"/>
  <c r="C53" i="19"/>
  <c r="C56" i="19"/>
  <c r="E56" i="19"/>
  <c r="E55" i="19"/>
  <c r="E54" i="19"/>
  <c r="C57" i="19"/>
  <c r="C55" i="19"/>
  <c r="C54" i="19"/>
  <c r="E53" i="19"/>
  <c r="E26" i="22"/>
  <c r="D26" i="22"/>
  <c r="D33" i="22"/>
  <c r="E33" i="22"/>
  <c r="E34" i="22"/>
  <c r="D34" i="22"/>
  <c r="E51" i="22"/>
  <c r="D51" i="22"/>
  <c r="E38" i="22"/>
  <c r="D38" i="22"/>
  <c r="E43" i="22"/>
  <c r="D43" i="22"/>
  <c r="D52" i="22"/>
  <c r="E52" i="22"/>
  <c r="E22" i="22"/>
  <c r="D22" i="22"/>
  <c r="E21" i="22"/>
  <c r="D21" i="22"/>
  <c r="E45" i="22"/>
  <c r="D45" i="22"/>
  <c r="E46" i="22"/>
  <c r="D46" i="22"/>
  <c r="E55" i="22"/>
  <c r="D55" i="22"/>
  <c r="D25" i="22"/>
  <c r="E25" i="22"/>
  <c r="E30" i="22"/>
  <c r="D30" i="22"/>
  <c r="E53" i="22"/>
  <c r="D53" i="22"/>
  <c r="E41" i="22"/>
  <c r="D41" i="22"/>
  <c r="E18" i="22"/>
  <c r="D18" i="22"/>
  <c r="E50" i="22"/>
  <c r="D50" i="22"/>
  <c r="E37" i="22"/>
  <c r="D37" i="22"/>
  <c r="D28" i="22"/>
  <c r="E28" i="22"/>
  <c r="E54" i="22"/>
  <c r="D54" i="22"/>
  <c r="E29" i="22"/>
  <c r="D29" i="22"/>
  <c r="E42" i="22"/>
  <c r="D42" i="22"/>
  <c r="E32" i="22"/>
  <c r="D32" i="22"/>
  <c r="E49" i="22"/>
  <c r="D49" i="22"/>
  <c r="E24" i="22"/>
  <c r="D24" i="22"/>
  <c r="D20" i="22"/>
  <c r="E20" i="22"/>
  <c r="E27" i="22"/>
  <c r="D27" i="22"/>
  <c r="D40" i="22"/>
  <c r="E40" i="22"/>
  <c r="E19" i="22"/>
  <c r="D19" i="22"/>
  <c r="D44" i="22"/>
  <c r="E44" i="22"/>
  <c r="E47" i="22"/>
  <c r="D47" i="22"/>
  <c r="D48" i="22"/>
  <c r="E48" i="22"/>
  <c r="E23" i="22"/>
  <c r="D23" i="22"/>
  <c r="E36" i="22"/>
  <c r="D36" i="22"/>
  <c r="E39" i="22"/>
  <c r="D39" i="22"/>
  <c r="E31" i="22"/>
  <c r="D31" i="22"/>
  <c r="E35" i="22"/>
  <c r="D35" i="22"/>
  <c r="D14" i="2"/>
  <c r="D9" i="2"/>
  <c r="D8" i="2"/>
  <c r="D7" i="2"/>
  <c r="D6" i="2"/>
  <c r="B31" i="3"/>
  <c r="B29" i="3"/>
  <c r="B21" i="3"/>
  <c r="B23" i="3"/>
  <c r="S41" i="8"/>
  <c r="R41" i="8"/>
  <c r="Q41" i="8"/>
  <c r="AA90" i="8" s="1"/>
  <c r="P41" i="8"/>
  <c r="O41" i="8"/>
  <c r="N41" i="8"/>
  <c r="M41" i="8"/>
  <c r="Z90" i="8" s="1"/>
  <c r="L41" i="8"/>
  <c r="S40" i="8"/>
  <c r="R40" i="8"/>
  <c r="Q40" i="8"/>
  <c r="P40" i="8"/>
  <c r="O40" i="8"/>
  <c r="N40" i="8"/>
  <c r="M40" i="8"/>
  <c r="L40" i="8"/>
  <c r="S39" i="8"/>
  <c r="R39" i="8"/>
  <c r="Q39" i="8"/>
  <c r="AA88" i="8" s="1"/>
  <c r="P39" i="8"/>
  <c r="O39" i="8"/>
  <c r="N39" i="8"/>
  <c r="M39" i="8"/>
  <c r="L39" i="8"/>
  <c r="S38" i="8"/>
  <c r="R38" i="8"/>
  <c r="Q38" i="8"/>
  <c r="P38" i="8"/>
  <c r="O38" i="8"/>
  <c r="N38" i="8"/>
  <c r="M38" i="8"/>
  <c r="Z87" i="8" s="1"/>
  <c r="L38" i="8"/>
  <c r="S37" i="8"/>
  <c r="R37" i="8"/>
  <c r="Q37" i="8"/>
  <c r="P37" i="8"/>
  <c r="O37" i="8"/>
  <c r="N37" i="8"/>
  <c r="M37" i="8"/>
  <c r="Z86" i="8" s="1"/>
  <c r="L37" i="8"/>
  <c r="S36" i="8"/>
  <c r="R36" i="8"/>
  <c r="Q36" i="8"/>
  <c r="AA85" i="8" s="1"/>
  <c r="P36" i="8"/>
  <c r="O36" i="8"/>
  <c r="N36" i="8"/>
  <c r="M36" i="8"/>
  <c r="L36" i="8"/>
  <c r="S35" i="8"/>
  <c r="R35" i="8"/>
  <c r="Q35" i="8"/>
  <c r="AA84" i="8" s="1"/>
  <c r="P35" i="8"/>
  <c r="O35" i="8"/>
  <c r="N35" i="8"/>
  <c r="M35" i="8"/>
  <c r="L35" i="8"/>
  <c r="S34" i="8"/>
  <c r="R34" i="8"/>
  <c r="Q34" i="8"/>
  <c r="P34" i="8"/>
  <c r="O34" i="8"/>
  <c r="N34" i="8"/>
  <c r="M34" i="8"/>
  <c r="Z83" i="8" s="1"/>
  <c r="L34" i="8"/>
  <c r="S33" i="8"/>
  <c r="R33" i="8"/>
  <c r="Q33" i="8"/>
  <c r="P33" i="8"/>
  <c r="O33" i="8"/>
  <c r="N33" i="8"/>
  <c r="M33" i="8"/>
  <c r="L33" i="8"/>
  <c r="S32" i="8"/>
  <c r="R32" i="8"/>
  <c r="Q32" i="8"/>
  <c r="AA81" i="8" s="1"/>
  <c r="P32" i="8"/>
  <c r="O32" i="8"/>
  <c r="N32" i="8"/>
  <c r="M32" i="8"/>
  <c r="L32" i="8"/>
  <c r="A50" i="27" l="1"/>
  <c r="B51" i="27"/>
  <c r="F55" i="23"/>
  <c r="E55" i="23"/>
  <c r="C56" i="23"/>
  <c r="D56" i="23" s="1"/>
  <c r="AA86" i="8"/>
  <c r="X83" i="8"/>
  <c r="AA83" i="8"/>
  <c r="X86" i="8"/>
  <c r="AA89" i="8"/>
  <c r="Z85" i="8"/>
  <c r="T82" i="8"/>
  <c r="AA82" i="8"/>
  <c r="T84" i="8"/>
  <c r="T90" i="8"/>
  <c r="T87" i="8"/>
  <c r="T85" i="8"/>
  <c r="Z81" i="8"/>
  <c r="Z84" i="8"/>
  <c r="T81" i="8"/>
  <c r="X88" i="8"/>
  <c r="Z88" i="8"/>
  <c r="X85" i="8"/>
  <c r="Z82" i="8"/>
  <c r="X89" i="8"/>
  <c r="AA87" i="8"/>
  <c r="Z89" i="8"/>
  <c r="X81" i="8"/>
  <c r="T83" i="8"/>
  <c r="X84" i="8"/>
  <c r="T86" i="8"/>
  <c r="X87" i="8"/>
  <c r="T89" i="8"/>
  <c r="X90" i="8"/>
  <c r="T88" i="8"/>
  <c r="X82" i="8"/>
  <c r="D57" i="22"/>
  <c r="E57" i="22"/>
  <c r="K27" i="8"/>
  <c r="R27" i="8" s="1"/>
  <c r="K22" i="8"/>
  <c r="Q22" i="8" s="1"/>
  <c r="K17" i="8"/>
  <c r="K12" i="8"/>
  <c r="K7" i="8"/>
  <c r="D20" i="21" l="1"/>
  <c r="C20" i="21"/>
  <c r="A51" i="27"/>
  <c r="B52" i="27"/>
  <c r="E56" i="23"/>
  <c r="F56" i="23"/>
  <c r="C57" i="23"/>
  <c r="D57" i="23" s="1"/>
  <c r="L7" i="8"/>
  <c r="E51" i="19"/>
  <c r="C43" i="19"/>
  <c r="E45" i="19"/>
  <c r="E47" i="19"/>
  <c r="C50" i="19"/>
  <c r="C49" i="19"/>
  <c r="C44" i="19"/>
  <c r="E48" i="19"/>
  <c r="C51" i="19"/>
  <c r="C48" i="19"/>
  <c r="E44" i="19"/>
  <c r="C45" i="19"/>
  <c r="C46" i="19"/>
  <c r="C52" i="19"/>
  <c r="E50" i="19"/>
  <c r="E46" i="19"/>
  <c r="E43" i="19"/>
  <c r="C47" i="19"/>
  <c r="E52" i="19"/>
  <c r="E49" i="19"/>
  <c r="P12" i="8"/>
  <c r="M12" i="8"/>
  <c r="M7" i="8"/>
  <c r="O7" i="8"/>
  <c r="P7" i="8"/>
  <c r="N12" i="8"/>
  <c r="O12" i="8"/>
  <c r="Q12" i="8"/>
  <c r="R12" i="8"/>
  <c r="S12" i="8"/>
  <c r="K18" i="8"/>
  <c r="X17" i="8"/>
  <c r="W17" i="8"/>
  <c r="V17" i="8"/>
  <c r="U17" i="8"/>
  <c r="Z17" i="8"/>
  <c r="AA17" i="8"/>
  <c r="Y17" i="8"/>
  <c r="T17" i="8"/>
  <c r="Q17" i="8"/>
  <c r="M22" i="8"/>
  <c r="N22" i="8"/>
  <c r="S17" i="8"/>
  <c r="O22" i="8"/>
  <c r="P22" i="8"/>
  <c r="L27" i="8"/>
  <c r="M27" i="8"/>
  <c r="K23" i="8"/>
  <c r="AA22" i="8"/>
  <c r="Z22" i="8"/>
  <c r="Y22" i="8"/>
  <c r="W22" i="8"/>
  <c r="V22" i="8"/>
  <c r="U22" i="8"/>
  <c r="T22" i="8"/>
  <c r="X22" i="8"/>
  <c r="R22" i="8"/>
  <c r="N27" i="8"/>
  <c r="S22" i="8"/>
  <c r="O27" i="8"/>
  <c r="L17" i="8"/>
  <c r="T7" i="8"/>
  <c r="AA7" i="8"/>
  <c r="Z7" i="8"/>
  <c r="Y7" i="8"/>
  <c r="W7" i="8"/>
  <c r="V7" i="8"/>
  <c r="X7" i="8"/>
  <c r="U7" i="8"/>
  <c r="M17" i="8"/>
  <c r="Q27" i="8"/>
  <c r="R17" i="8"/>
  <c r="Q7" i="8"/>
  <c r="K8" i="8"/>
  <c r="R7" i="8"/>
  <c r="N17" i="8"/>
  <c r="T66" i="8" s="1"/>
  <c r="K28" i="8"/>
  <c r="T27" i="8"/>
  <c r="AA27" i="8"/>
  <c r="Z27" i="8"/>
  <c r="Y27" i="8"/>
  <c r="U27" i="8"/>
  <c r="X27" i="8"/>
  <c r="W27" i="8"/>
  <c r="V27" i="8"/>
  <c r="P27" i="8"/>
  <c r="S7" i="8"/>
  <c r="O17" i="8"/>
  <c r="S27" i="8"/>
  <c r="K13" i="8"/>
  <c r="T12" i="8"/>
  <c r="AA12" i="8"/>
  <c r="Z12" i="8"/>
  <c r="X12" i="8"/>
  <c r="W12" i="8"/>
  <c r="V12" i="8"/>
  <c r="U12" i="8"/>
  <c r="Y12" i="8"/>
  <c r="N7" i="8"/>
  <c r="L12" i="8"/>
  <c r="P17" i="8"/>
  <c r="L22" i="8"/>
  <c r="X76" i="8" l="1"/>
  <c r="AA71" i="8"/>
  <c r="F51" i="27"/>
  <c r="D51" i="27"/>
  <c r="G51" i="27" s="1"/>
  <c r="A52" i="27"/>
  <c r="B53" i="27"/>
  <c r="E57" i="23"/>
  <c r="F57" i="23"/>
  <c r="C58" i="23"/>
  <c r="D58" i="23" s="1"/>
  <c r="T71" i="8"/>
  <c r="X61" i="8"/>
  <c r="X71" i="8"/>
  <c r="Y71" i="8" s="1"/>
  <c r="AA66" i="8"/>
  <c r="AA61" i="8"/>
  <c r="T56" i="8"/>
  <c r="W56" i="8" s="1"/>
  <c r="Z71" i="8"/>
  <c r="T61" i="8"/>
  <c r="X56" i="8"/>
  <c r="Y56" i="8" s="1"/>
  <c r="AA56" i="8"/>
  <c r="X66" i="8"/>
  <c r="AA76" i="8"/>
  <c r="Z76" i="8"/>
  <c r="Z56" i="8"/>
  <c r="Z66" i="8"/>
  <c r="T76" i="8"/>
  <c r="Z61" i="8"/>
  <c r="E33" i="19"/>
  <c r="C18" i="19"/>
  <c r="Y76" i="8"/>
  <c r="Y61" i="8"/>
  <c r="Y66" i="8"/>
  <c r="K24" i="8"/>
  <c r="T23" i="8"/>
  <c r="AA23" i="8"/>
  <c r="Z23" i="8"/>
  <c r="Y23" i="8"/>
  <c r="X23" i="8"/>
  <c r="W23" i="8"/>
  <c r="U23" i="8"/>
  <c r="V23" i="8"/>
  <c r="S23" i="8"/>
  <c r="P23" i="8"/>
  <c r="R23" i="8"/>
  <c r="Q23" i="8"/>
  <c r="O23" i="8"/>
  <c r="N23" i="8"/>
  <c r="M23" i="8"/>
  <c r="L23" i="8"/>
  <c r="T8" i="8"/>
  <c r="AA8" i="8"/>
  <c r="Z8" i="8"/>
  <c r="X8" i="8"/>
  <c r="W8" i="8"/>
  <c r="V8" i="8"/>
  <c r="U8" i="8"/>
  <c r="Y8" i="8"/>
  <c r="P8" i="8"/>
  <c r="M8" i="8"/>
  <c r="K9" i="8"/>
  <c r="Q8" i="8"/>
  <c r="S8" i="8"/>
  <c r="R8" i="8"/>
  <c r="O8" i="8"/>
  <c r="L8" i="8"/>
  <c r="N8" i="8"/>
  <c r="K14" i="8"/>
  <c r="X13" i="8"/>
  <c r="W13" i="8"/>
  <c r="V13" i="8"/>
  <c r="U13" i="8"/>
  <c r="AA13" i="8"/>
  <c r="Z13" i="8"/>
  <c r="Y13" i="8"/>
  <c r="T13" i="8"/>
  <c r="P13" i="8"/>
  <c r="M13" i="8"/>
  <c r="L13" i="8"/>
  <c r="O13" i="8"/>
  <c r="N13" i="8"/>
  <c r="R13" i="8"/>
  <c r="S13" i="8"/>
  <c r="Q13" i="8"/>
  <c r="K29" i="8"/>
  <c r="X28" i="8"/>
  <c r="W28" i="8"/>
  <c r="V28" i="8"/>
  <c r="U28" i="8"/>
  <c r="AA28" i="8"/>
  <c r="Y28" i="8"/>
  <c r="Z28" i="8"/>
  <c r="T28" i="8"/>
  <c r="P28" i="8"/>
  <c r="O28" i="8"/>
  <c r="N28" i="8"/>
  <c r="M28" i="8"/>
  <c r="L28" i="8"/>
  <c r="S28" i="8"/>
  <c r="R28" i="8"/>
  <c r="Q28" i="8"/>
  <c r="K19" i="8"/>
  <c r="AA18" i="8"/>
  <c r="Z18" i="8"/>
  <c r="Y18" i="8"/>
  <c r="W18" i="8"/>
  <c r="V18" i="8"/>
  <c r="U18" i="8"/>
  <c r="X18" i="8"/>
  <c r="T18" i="8"/>
  <c r="L18" i="8"/>
  <c r="S18" i="8"/>
  <c r="R18" i="8"/>
  <c r="Q18" i="8"/>
  <c r="P18" i="8"/>
  <c r="O18" i="8"/>
  <c r="N18" i="8"/>
  <c r="M18" i="8"/>
  <c r="D52" i="27" l="1"/>
  <c r="F52" i="27"/>
  <c r="H51" i="27"/>
  <c r="I51" i="27"/>
  <c r="B54" i="27"/>
  <c r="A53" i="27"/>
  <c r="E58" i="23"/>
  <c r="F58" i="23"/>
  <c r="C59" i="23"/>
  <c r="D59" i="23" s="1"/>
  <c r="X77" i="8"/>
  <c r="X57" i="8"/>
  <c r="AA57" i="8"/>
  <c r="X67" i="8"/>
  <c r="Y67" i="8" s="1"/>
  <c r="Z72" i="8"/>
  <c r="AA67" i="8"/>
  <c r="AA77" i="8"/>
  <c r="Z77" i="8"/>
  <c r="AA62" i="8"/>
  <c r="Z57" i="8"/>
  <c r="T72" i="8"/>
  <c r="Z62" i="8"/>
  <c r="T57" i="8"/>
  <c r="Z67" i="8"/>
  <c r="X62" i="8"/>
  <c r="AA72" i="8"/>
  <c r="T77" i="8"/>
  <c r="T67" i="8"/>
  <c r="T62" i="8"/>
  <c r="X72" i="8"/>
  <c r="C28" i="19"/>
  <c r="E23" i="19"/>
  <c r="E38" i="19"/>
  <c r="C23" i="19"/>
  <c r="E18" i="19"/>
  <c r="E28" i="19"/>
  <c r="C33" i="19"/>
  <c r="C38" i="19"/>
  <c r="U56" i="8"/>
  <c r="W61" i="8"/>
  <c r="U61" i="8"/>
  <c r="W76" i="8"/>
  <c r="U76" i="8"/>
  <c r="W57" i="8"/>
  <c r="Y72" i="8"/>
  <c r="W66" i="8"/>
  <c r="U66" i="8"/>
  <c r="Y77" i="8"/>
  <c r="Y62" i="8"/>
  <c r="W71" i="8"/>
  <c r="U71" i="8"/>
  <c r="Y57" i="8"/>
  <c r="K30" i="8"/>
  <c r="AA29" i="8"/>
  <c r="Z29" i="8"/>
  <c r="Y29" i="8"/>
  <c r="W29" i="8"/>
  <c r="V29" i="8"/>
  <c r="U29" i="8"/>
  <c r="X29" i="8"/>
  <c r="T29" i="8"/>
  <c r="L29" i="8"/>
  <c r="S29" i="8"/>
  <c r="R29" i="8"/>
  <c r="Q29" i="8"/>
  <c r="P29" i="8"/>
  <c r="O29" i="8"/>
  <c r="N29" i="8"/>
  <c r="T78" i="8" s="1"/>
  <c r="M29" i="8"/>
  <c r="Z78" i="8" s="1"/>
  <c r="K15" i="8"/>
  <c r="AA14" i="8"/>
  <c r="Z14" i="8"/>
  <c r="Y14" i="8"/>
  <c r="W14" i="8"/>
  <c r="V14" i="8"/>
  <c r="X14" i="8"/>
  <c r="U14" i="8"/>
  <c r="T14" i="8"/>
  <c r="S14" i="8"/>
  <c r="P14" i="8"/>
  <c r="R14" i="8"/>
  <c r="Q14" i="8"/>
  <c r="O14" i="8"/>
  <c r="N14" i="8"/>
  <c r="M14" i="8"/>
  <c r="L14" i="8"/>
  <c r="K25" i="8"/>
  <c r="X24" i="8"/>
  <c r="W24" i="8"/>
  <c r="V24" i="8"/>
  <c r="U24" i="8"/>
  <c r="AA24" i="8"/>
  <c r="Z24" i="8"/>
  <c r="Y24" i="8"/>
  <c r="T24" i="8"/>
  <c r="P24" i="8"/>
  <c r="O24" i="8"/>
  <c r="N24" i="8"/>
  <c r="M24" i="8"/>
  <c r="L24" i="8"/>
  <c r="S24" i="8"/>
  <c r="R24" i="8"/>
  <c r="Q24" i="8"/>
  <c r="AA73" i="8" s="1"/>
  <c r="K10" i="8"/>
  <c r="X9" i="8"/>
  <c r="W9" i="8"/>
  <c r="V9" i="8"/>
  <c r="U9" i="8"/>
  <c r="Y9" i="8"/>
  <c r="AA9" i="8"/>
  <c r="Z9" i="8"/>
  <c r="T9" i="8"/>
  <c r="M9" i="8"/>
  <c r="P9" i="8"/>
  <c r="Q9" i="8"/>
  <c r="O9" i="8"/>
  <c r="L9" i="8"/>
  <c r="R9" i="8"/>
  <c r="S9" i="8"/>
  <c r="N9" i="8"/>
  <c r="K20" i="8"/>
  <c r="T19" i="8"/>
  <c r="AA19" i="8"/>
  <c r="Y19" i="8"/>
  <c r="Z19" i="8"/>
  <c r="X19" i="8"/>
  <c r="W19" i="8"/>
  <c r="V19" i="8"/>
  <c r="U19" i="8"/>
  <c r="S19" i="8"/>
  <c r="P19" i="8"/>
  <c r="R19" i="8"/>
  <c r="Q19" i="8"/>
  <c r="O19" i="8"/>
  <c r="N19" i="8"/>
  <c r="M19" i="8"/>
  <c r="L19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F33" i="8"/>
  <c r="E33" i="8"/>
  <c r="X63" i="8" l="1"/>
  <c r="D53" i="27"/>
  <c r="F53" i="27"/>
  <c r="G52" i="27"/>
  <c r="A54" i="27"/>
  <c r="B55" i="27"/>
  <c r="A55" i="27" s="1"/>
  <c r="E59" i="23"/>
  <c r="F59" i="23"/>
  <c r="C60" i="23"/>
  <c r="D60" i="23" s="1"/>
  <c r="Z58" i="8"/>
  <c r="AA78" i="8"/>
  <c r="Z68" i="8"/>
  <c r="X78" i="8"/>
  <c r="AA58" i="8"/>
  <c r="T73" i="8"/>
  <c r="AA68" i="8"/>
  <c r="Z63" i="8"/>
  <c r="X73" i="8"/>
  <c r="Y73" i="8" s="1"/>
  <c r="X68" i="8"/>
  <c r="Y68" i="8" s="1"/>
  <c r="T58" i="8"/>
  <c r="W58" i="8" s="1"/>
  <c r="T63" i="8"/>
  <c r="Z73" i="8"/>
  <c r="T68" i="8"/>
  <c r="X58" i="8"/>
  <c r="AA63" i="8"/>
  <c r="E39" i="19"/>
  <c r="E29" i="19"/>
  <c r="C39" i="19"/>
  <c r="E24" i="19"/>
  <c r="C34" i="19"/>
  <c r="E34" i="19"/>
  <c r="E19" i="19"/>
  <c r="C29" i="19"/>
  <c r="C19" i="19"/>
  <c r="C24" i="19"/>
  <c r="U57" i="8"/>
  <c r="Y78" i="8"/>
  <c r="W67" i="8"/>
  <c r="U67" i="8"/>
  <c r="W77" i="8"/>
  <c r="U77" i="8"/>
  <c r="Y63" i="8"/>
  <c r="U72" i="8"/>
  <c r="W72" i="8"/>
  <c r="W62" i="8"/>
  <c r="U62" i="8"/>
  <c r="Y58" i="8"/>
  <c r="AA10" i="8"/>
  <c r="Z10" i="8"/>
  <c r="Y10" i="8"/>
  <c r="W10" i="8"/>
  <c r="V10" i="8"/>
  <c r="X10" i="8"/>
  <c r="U10" i="8"/>
  <c r="T10" i="8"/>
  <c r="S10" i="8"/>
  <c r="M10" i="8"/>
  <c r="P10" i="8"/>
  <c r="R10" i="8"/>
  <c r="O10" i="8"/>
  <c r="L10" i="8"/>
  <c r="Q10" i="8"/>
  <c r="N10" i="8"/>
  <c r="AA25" i="8"/>
  <c r="Z25" i="8"/>
  <c r="Y25" i="8"/>
  <c r="W25" i="8"/>
  <c r="V25" i="8"/>
  <c r="U25" i="8"/>
  <c r="X25" i="8"/>
  <c r="T25" i="8"/>
  <c r="L25" i="8"/>
  <c r="S25" i="8"/>
  <c r="R25" i="8"/>
  <c r="Q25" i="8"/>
  <c r="P25" i="8"/>
  <c r="O25" i="8"/>
  <c r="N25" i="8"/>
  <c r="T74" i="8" s="1"/>
  <c r="M25" i="8"/>
  <c r="T15" i="8"/>
  <c r="AA15" i="8"/>
  <c r="Z15" i="8"/>
  <c r="Y15" i="8"/>
  <c r="X15" i="8"/>
  <c r="W15" i="8"/>
  <c r="V15" i="8"/>
  <c r="U15" i="8"/>
  <c r="L15" i="8"/>
  <c r="N15" i="8"/>
  <c r="S15" i="8"/>
  <c r="R15" i="8"/>
  <c r="Q15" i="8"/>
  <c r="P15" i="8"/>
  <c r="O15" i="8"/>
  <c r="M15" i="8"/>
  <c r="T30" i="8"/>
  <c r="AA30" i="8"/>
  <c r="Z30" i="8"/>
  <c r="Y30" i="8"/>
  <c r="W30" i="8"/>
  <c r="X30" i="8"/>
  <c r="V30" i="8"/>
  <c r="U30" i="8"/>
  <c r="S30" i="8"/>
  <c r="R30" i="8"/>
  <c r="Q30" i="8"/>
  <c r="P30" i="8"/>
  <c r="O30" i="8"/>
  <c r="N30" i="8"/>
  <c r="M30" i="8"/>
  <c r="L30" i="8"/>
  <c r="X20" i="8"/>
  <c r="W20" i="8"/>
  <c r="V20" i="8"/>
  <c r="U20" i="8"/>
  <c r="Y20" i="8"/>
  <c r="T20" i="8"/>
  <c r="AA20" i="8"/>
  <c r="Z20" i="8"/>
  <c r="P20" i="8"/>
  <c r="O20" i="8"/>
  <c r="N20" i="8"/>
  <c r="M20" i="8"/>
  <c r="L20" i="8"/>
  <c r="S20" i="8"/>
  <c r="R20" i="8"/>
  <c r="X69" i="8" s="1"/>
  <c r="Q20" i="8"/>
  <c r="H33" i="8"/>
  <c r="H34" i="8" s="1"/>
  <c r="I33" i="8"/>
  <c r="I34" i="8" s="1"/>
  <c r="F34" i="8"/>
  <c r="E38" i="8" s="1"/>
  <c r="E34" i="8"/>
  <c r="D38" i="8" s="1"/>
  <c r="T64" i="8" l="1"/>
  <c r="I52" i="27"/>
  <c r="H52" i="27"/>
  <c r="D55" i="27"/>
  <c r="F55" i="27"/>
  <c r="F54" i="27"/>
  <c r="D54" i="27"/>
  <c r="G54" i="27" s="1"/>
  <c r="G53" i="27"/>
  <c r="E60" i="23"/>
  <c r="F60" i="23"/>
  <c r="C61" i="23"/>
  <c r="D61" i="23" s="1"/>
  <c r="AA74" i="8"/>
  <c r="T59" i="8"/>
  <c r="U59" i="8" s="1"/>
  <c r="X74" i="8"/>
  <c r="AA59" i="8"/>
  <c r="T79" i="8"/>
  <c r="Z69" i="8"/>
  <c r="Z64" i="8"/>
  <c r="X59" i="8"/>
  <c r="Y59" i="8" s="1"/>
  <c r="AA79" i="8"/>
  <c r="Z79" i="8"/>
  <c r="X79" i="8"/>
  <c r="Y79" i="8" s="1"/>
  <c r="Z59" i="8"/>
  <c r="T69" i="8"/>
  <c r="AA64" i="8"/>
  <c r="AA69" i="8"/>
  <c r="X64" i="8"/>
  <c r="Z74" i="8"/>
  <c r="E30" i="19"/>
  <c r="C40" i="19"/>
  <c r="C25" i="19"/>
  <c r="E25" i="19"/>
  <c r="E20" i="19"/>
  <c r="C30" i="19"/>
  <c r="C35" i="19"/>
  <c r="E35" i="19"/>
  <c r="E40" i="19"/>
  <c r="C20" i="19"/>
  <c r="U58" i="8"/>
  <c r="W78" i="8"/>
  <c r="U78" i="8"/>
  <c r="Y74" i="8"/>
  <c r="Y69" i="8"/>
  <c r="Y64" i="8"/>
  <c r="W73" i="8"/>
  <c r="U73" i="8"/>
  <c r="W68" i="8"/>
  <c r="U68" i="8"/>
  <c r="W63" i="8"/>
  <c r="U63" i="8"/>
  <c r="G33" i="8"/>
  <c r="I53" i="27" l="1"/>
  <c r="H53" i="27"/>
  <c r="H54" i="27"/>
  <c r="I54" i="27"/>
  <c r="G55" i="27"/>
  <c r="F61" i="23"/>
  <c r="E61" i="23"/>
  <c r="C62" i="23"/>
  <c r="D62" i="23" s="1"/>
  <c r="C31" i="19"/>
  <c r="C21" i="19"/>
  <c r="E41" i="19"/>
  <c r="E31" i="19"/>
  <c r="E21" i="19"/>
  <c r="C41" i="19"/>
  <c r="E26" i="19"/>
  <c r="C36" i="19"/>
  <c r="C26" i="19"/>
  <c r="E36" i="19"/>
  <c r="W59" i="8"/>
  <c r="W74" i="8"/>
  <c r="U74" i="8"/>
  <c r="U69" i="8"/>
  <c r="W69" i="8"/>
  <c r="W64" i="8"/>
  <c r="U64" i="8"/>
  <c r="W79" i="8"/>
  <c r="U79" i="8"/>
  <c r="W35" i="7"/>
  <c r="X35" i="7"/>
  <c r="I55" i="27" l="1"/>
  <c r="H55" i="27"/>
  <c r="F62" i="23"/>
  <c r="E62" i="23"/>
  <c r="C63" i="23"/>
  <c r="V35" i="7"/>
  <c r="C64" i="23" l="1"/>
  <c r="D63" i="23"/>
  <c r="U35" i="7"/>
  <c r="F63" i="23" l="1"/>
  <c r="E63" i="23"/>
  <c r="C65" i="23"/>
  <c r="D64" i="23"/>
  <c r="F21" i="20"/>
  <c r="E21" i="20"/>
  <c r="T33" i="7"/>
  <c r="S33" i="7"/>
  <c r="R33" i="7"/>
  <c r="C23" i="7"/>
  <c r="C24" i="7"/>
  <c r="C25" i="7"/>
  <c r="C26" i="7"/>
  <c r="C27" i="7"/>
  <c r="C28" i="7"/>
  <c r="C22" i="7"/>
  <c r="F64" i="23" l="1"/>
  <c r="E64" i="23"/>
  <c r="D65" i="23"/>
  <c r="C66" i="23"/>
  <c r="C39" i="8"/>
  <c r="C73" i="8"/>
  <c r="C46" i="8"/>
  <c r="F46" i="8" s="1"/>
  <c r="C24" i="20" s="1"/>
  <c r="E65" i="23" l="1"/>
  <c r="F65" i="23"/>
  <c r="D66" i="23"/>
  <c r="C67" i="23"/>
  <c r="C68" i="23" s="1"/>
  <c r="C69" i="23" s="1"/>
  <c r="C70" i="23" s="1"/>
  <c r="C71" i="23" s="1"/>
  <c r="F73" i="8"/>
  <c r="C51" i="20" s="1"/>
  <c r="C87" i="8"/>
  <c r="C83" i="8"/>
  <c r="C84" i="8"/>
  <c r="C85" i="8"/>
  <c r="C86" i="8"/>
  <c r="C47" i="8"/>
  <c r="F47" i="8" s="1"/>
  <c r="C25" i="20" s="1"/>
  <c r="E46" i="8"/>
  <c r="C77" i="8"/>
  <c r="F77" i="8" s="1"/>
  <c r="C55" i="20" s="1"/>
  <c r="C79" i="8"/>
  <c r="F79" i="8" s="1"/>
  <c r="C57" i="20" s="1"/>
  <c r="C80" i="8"/>
  <c r="F80" i="8" s="1"/>
  <c r="C58" i="20" s="1"/>
  <c r="C81" i="8"/>
  <c r="F81" i="8" s="1"/>
  <c r="C59" i="20" s="1"/>
  <c r="C82" i="8"/>
  <c r="F82" i="8" s="1"/>
  <c r="C60" i="20" s="1"/>
  <c r="C75" i="8"/>
  <c r="F75" i="8" s="1"/>
  <c r="C53" i="20" s="1"/>
  <c r="C76" i="8"/>
  <c r="F76" i="8" s="1"/>
  <c r="C54" i="20" s="1"/>
  <c r="C78" i="8"/>
  <c r="F78" i="8" s="1"/>
  <c r="C56" i="20" s="1"/>
  <c r="C74" i="8"/>
  <c r="F74" i="8" s="1"/>
  <c r="C52" i="20" s="1"/>
  <c r="F66" i="23" l="1"/>
  <c r="E66" i="23"/>
  <c r="E72" i="23" s="1"/>
  <c r="C14" i="21" s="1"/>
  <c r="F72" i="23"/>
  <c r="D72" i="23"/>
  <c r="D46" i="8"/>
  <c r="F86" i="8"/>
  <c r="C64" i="20" s="1"/>
  <c r="E86" i="8"/>
  <c r="E85" i="8"/>
  <c r="F85" i="8"/>
  <c r="C63" i="20" s="1"/>
  <c r="F84" i="8"/>
  <c r="C62" i="20" s="1"/>
  <c r="E84" i="8"/>
  <c r="F83" i="8"/>
  <c r="C61" i="20" s="1"/>
  <c r="E83" i="8"/>
  <c r="F87" i="8"/>
  <c r="C65" i="20" s="1"/>
  <c r="E87" i="8"/>
  <c r="E47" i="8"/>
  <c r="C48" i="8"/>
  <c r="F48" i="8" s="1"/>
  <c r="C26" i="20" s="1"/>
  <c r="C18" i="33" l="1"/>
  <c r="D14" i="21"/>
  <c r="D47" i="8"/>
  <c r="C19" i="33" s="1"/>
  <c r="D86" i="8"/>
  <c r="C58" i="33" s="1"/>
  <c r="D87" i="8"/>
  <c r="C59" i="33" s="1"/>
  <c r="D83" i="8"/>
  <c r="C55" i="33" s="1"/>
  <c r="D84" i="8"/>
  <c r="C56" i="33" s="1"/>
  <c r="D85" i="8"/>
  <c r="C57" i="33" s="1"/>
  <c r="C49" i="8"/>
  <c r="F49" i="8" s="1"/>
  <c r="C27" i="20" s="1"/>
  <c r="E48" i="8"/>
  <c r="C31" i="7"/>
  <c r="D48" i="8" l="1"/>
  <c r="C20" i="33" s="1"/>
  <c r="C50" i="8"/>
  <c r="F50" i="8" s="1"/>
  <c r="C28" i="20" s="1"/>
  <c r="E49" i="8"/>
  <c r="B36" i="7"/>
  <c r="A36" i="7" s="1"/>
  <c r="C19" i="7"/>
  <c r="C18" i="7"/>
  <c r="C17" i="7"/>
  <c r="C16" i="7"/>
  <c r="B37" i="7" l="1"/>
  <c r="A37" i="7" s="1"/>
  <c r="D49" i="8"/>
  <c r="C21" i="33" s="1"/>
  <c r="C51" i="8"/>
  <c r="F51" i="8" s="1"/>
  <c r="C29" i="20" s="1"/>
  <c r="E50" i="8"/>
  <c r="H36" i="7" l="1"/>
  <c r="C36" i="7"/>
  <c r="D36" i="7"/>
  <c r="L36" i="7"/>
  <c r="J36" i="7"/>
  <c r="I36" i="7"/>
  <c r="E36" i="7"/>
  <c r="F36" i="7"/>
  <c r="K36" i="7"/>
  <c r="G36" i="7"/>
  <c r="H37" i="7"/>
  <c r="C37" i="7"/>
  <c r="B38" i="7"/>
  <c r="A38" i="7" s="1"/>
  <c r="D50" i="8"/>
  <c r="C22" i="33" s="1"/>
  <c r="I37" i="7"/>
  <c r="J37" i="7"/>
  <c r="E37" i="7"/>
  <c r="D37" i="7"/>
  <c r="K37" i="7"/>
  <c r="F37" i="7"/>
  <c r="L37" i="7"/>
  <c r="G37" i="7"/>
  <c r="C52" i="8"/>
  <c r="E51" i="8"/>
  <c r="C16" i="20"/>
  <c r="B24" i="20"/>
  <c r="A24" i="20" s="1"/>
  <c r="U36" i="7" l="1"/>
  <c r="M36" i="7"/>
  <c r="C38" i="7"/>
  <c r="H38" i="7"/>
  <c r="X36" i="7"/>
  <c r="Q36" i="7"/>
  <c r="R36" i="7" s="1"/>
  <c r="B39" i="7"/>
  <c r="A39" i="7" s="1"/>
  <c r="W36" i="7"/>
  <c r="O36" i="7"/>
  <c r="V36" i="7"/>
  <c r="N36" i="7"/>
  <c r="D51" i="8"/>
  <c r="C23" i="33" s="1"/>
  <c r="C53" i="8"/>
  <c r="F52" i="8"/>
  <c r="C30" i="20" s="1"/>
  <c r="B25" i="20"/>
  <c r="U37" i="7"/>
  <c r="M37" i="7"/>
  <c r="W37" i="7"/>
  <c r="O37" i="7"/>
  <c r="V37" i="7"/>
  <c r="N37" i="7"/>
  <c r="X37" i="7"/>
  <c r="Q37" i="7"/>
  <c r="R37" i="7" s="1"/>
  <c r="L38" i="7"/>
  <c r="G38" i="7"/>
  <c r="J38" i="7"/>
  <c r="K38" i="7"/>
  <c r="E38" i="7"/>
  <c r="F38" i="7"/>
  <c r="I38" i="7"/>
  <c r="D38" i="7"/>
  <c r="C10" i="19"/>
  <c r="B16" i="19"/>
  <c r="A16" i="19" s="1"/>
  <c r="C12" i="18"/>
  <c r="B18" i="18"/>
  <c r="A18" i="18" s="1"/>
  <c r="C9" i="19"/>
  <c r="C11" i="18"/>
  <c r="B26" i="20" l="1"/>
  <c r="A26" i="20" s="1"/>
  <c r="A25" i="20"/>
  <c r="B40" i="7"/>
  <c r="A40" i="7" s="1"/>
  <c r="H40" i="7" s="1"/>
  <c r="D18" i="18"/>
  <c r="P36" i="7"/>
  <c r="C40" i="7"/>
  <c r="H39" i="7"/>
  <c r="C39" i="7"/>
  <c r="E24" i="20"/>
  <c r="F24" i="20" s="1"/>
  <c r="D24" i="20"/>
  <c r="C54" i="8"/>
  <c r="F53" i="8"/>
  <c r="C31" i="20" s="1"/>
  <c r="B17" i="19"/>
  <c r="A17" i="19" s="1"/>
  <c r="B19" i="18"/>
  <c r="A19" i="18" s="1"/>
  <c r="B27" i="20"/>
  <c r="A27" i="20" s="1"/>
  <c r="W38" i="7"/>
  <c r="O38" i="7"/>
  <c r="V38" i="7"/>
  <c r="N38" i="7"/>
  <c r="U38" i="7"/>
  <c r="M38" i="7"/>
  <c r="I39" i="7"/>
  <c r="D39" i="7"/>
  <c r="J39" i="7"/>
  <c r="E39" i="7"/>
  <c r="K39" i="7"/>
  <c r="F39" i="7"/>
  <c r="L39" i="7"/>
  <c r="G39" i="7"/>
  <c r="P37" i="7"/>
  <c r="X38" i="7"/>
  <c r="Q38" i="7"/>
  <c r="R38" i="7" s="1"/>
  <c r="B41" i="7"/>
  <c r="A41" i="7" s="1"/>
  <c r="B20" i="18"/>
  <c r="A20" i="18" s="1"/>
  <c r="C8" i="18"/>
  <c r="C8" i="17"/>
  <c r="B14" i="17"/>
  <c r="A14" i="17" s="1"/>
  <c r="C7" i="17"/>
  <c r="D16" i="19" l="1"/>
  <c r="G16" i="19" s="1"/>
  <c r="H16" i="19" s="1"/>
  <c r="F16" i="19"/>
  <c r="C19" i="18"/>
  <c r="C31" i="18"/>
  <c r="C43" i="18"/>
  <c r="C55" i="18"/>
  <c r="C26" i="18"/>
  <c r="C42" i="18"/>
  <c r="C20" i="18"/>
  <c r="C32" i="18"/>
  <c r="C44" i="18"/>
  <c r="C56" i="18"/>
  <c r="C49" i="18"/>
  <c r="C39" i="18"/>
  <c r="C29" i="18"/>
  <c r="C21" i="18"/>
  <c r="C33" i="18"/>
  <c r="C45" i="18"/>
  <c r="C57" i="18"/>
  <c r="C50" i="18"/>
  <c r="C51" i="18"/>
  <c r="C22" i="18"/>
  <c r="C34" i="18"/>
  <c r="C46" i="18"/>
  <c r="C58" i="18"/>
  <c r="C38" i="18"/>
  <c r="C28" i="18"/>
  <c r="C53" i="18"/>
  <c r="C23" i="18"/>
  <c r="C35" i="18"/>
  <c r="C47" i="18"/>
  <c r="C59" i="18"/>
  <c r="C24" i="18"/>
  <c r="C36" i="18"/>
  <c r="C48" i="18"/>
  <c r="C18" i="18"/>
  <c r="C37" i="18"/>
  <c r="C27" i="18"/>
  <c r="C41" i="18"/>
  <c r="C25" i="18"/>
  <c r="C40" i="18"/>
  <c r="C30" i="18"/>
  <c r="C52" i="18"/>
  <c r="C54" i="18"/>
  <c r="D20" i="18"/>
  <c r="F18" i="18"/>
  <c r="D19" i="18"/>
  <c r="D14" i="17"/>
  <c r="E19" i="18"/>
  <c r="E18" i="18"/>
  <c r="E44" i="18"/>
  <c r="E39" i="18"/>
  <c r="E24" i="18"/>
  <c r="E29" i="18"/>
  <c r="E34" i="18"/>
  <c r="E58" i="18"/>
  <c r="E57" i="18"/>
  <c r="E56" i="18"/>
  <c r="E55" i="18"/>
  <c r="E59" i="18"/>
  <c r="E49" i="18"/>
  <c r="E45" i="18"/>
  <c r="E52" i="18"/>
  <c r="E54" i="18"/>
  <c r="E51" i="18"/>
  <c r="E53" i="18"/>
  <c r="E48" i="18"/>
  <c r="E47" i="18"/>
  <c r="E50" i="18"/>
  <c r="E46" i="18"/>
  <c r="E35" i="18"/>
  <c r="E40" i="18"/>
  <c r="E20" i="18"/>
  <c r="E25" i="18"/>
  <c r="E30" i="18"/>
  <c r="E31" i="18"/>
  <c r="E41" i="18"/>
  <c r="E21" i="18"/>
  <c r="E26" i="18"/>
  <c r="E36" i="18"/>
  <c r="E22" i="18"/>
  <c r="E32" i="18"/>
  <c r="E37" i="18"/>
  <c r="E42" i="18"/>
  <c r="E27" i="18"/>
  <c r="E28" i="18"/>
  <c r="E38" i="18"/>
  <c r="E33" i="18"/>
  <c r="E23" i="18"/>
  <c r="E43" i="18"/>
  <c r="C41" i="7"/>
  <c r="H41" i="7"/>
  <c r="T36" i="7"/>
  <c r="S36" i="7"/>
  <c r="G24" i="20"/>
  <c r="E25" i="20"/>
  <c r="G25" i="20" s="1"/>
  <c r="D25" i="20"/>
  <c r="E26" i="20"/>
  <c r="G26" i="20" s="1"/>
  <c r="D26" i="20"/>
  <c r="B18" i="19"/>
  <c r="A18" i="19" s="1"/>
  <c r="C55" i="8"/>
  <c r="F54" i="8"/>
  <c r="C32" i="20" s="1"/>
  <c r="B15" i="17"/>
  <c r="A15" i="17" s="1"/>
  <c r="P38" i="7"/>
  <c r="T38" i="7" s="1"/>
  <c r="B28" i="20"/>
  <c r="A28" i="20" s="1"/>
  <c r="W39" i="7"/>
  <c r="O39" i="7"/>
  <c r="T37" i="7"/>
  <c r="S37" i="7"/>
  <c r="X39" i="7"/>
  <c r="Q39" i="7"/>
  <c r="R39" i="7" s="1"/>
  <c r="B42" i="7"/>
  <c r="A42" i="7" s="1"/>
  <c r="V39" i="7"/>
  <c r="N39" i="7"/>
  <c r="U39" i="7"/>
  <c r="M39" i="7"/>
  <c r="B21" i="18"/>
  <c r="A21" i="18" s="1"/>
  <c r="B19" i="19" l="1"/>
  <c r="D17" i="19"/>
  <c r="F17" i="19"/>
  <c r="F20" i="18"/>
  <c r="D21" i="18"/>
  <c r="F19" i="18"/>
  <c r="G19" i="18" s="1"/>
  <c r="F26" i="20"/>
  <c r="H42" i="7"/>
  <c r="C42" i="7"/>
  <c r="F25" i="20"/>
  <c r="G18" i="18"/>
  <c r="E27" i="20"/>
  <c r="F27" i="20" s="1"/>
  <c r="D27" i="20"/>
  <c r="I16" i="19"/>
  <c r="B16" i="17"/>
  <c r="A16" i="17" s="1"/>
  <c r="C56" i="8"/>
  <c r="F55" i="8"/>
  <c r="C33" i="20" s="1"/>
  <c r="S38" i="7"/>
  <c r="P39" i="7"/>
  <c r="T39" i="7" s="1"/>
  <c r="B29" i="20"/>
  <c r="A29" i="20" s="1"/>
  <c r="B43" i="7"/>
  <c r="A43" i="7" s="1"/>
  <c r="B22" i="18"/>
  <c r="A22" i="18" s="1"/>
  <c r="B20" i="19" l="1"/>
  <c r="A20" i="19" s="1"/>
  <c r="A19" i="19"/>
  <c r="G17" i="19"/>
  <c r="I17" i="19" s="1"/>
  <c r="D18" i="19"/>
  <c r="F18" i="19"/>
  <c r="D22" i="18"/>
  <c r="F21" i="18"/>
  <c r="D15" i="17"/>
  <c r="E15" i="17" s="1"/>
  <c r="B17" i="17"/>
  <c r="A17" i="17" s="1"/>
  <c r="C43" i="7"/>
  <c r="H43" i="7"/>
  <c r="G20" i="18"/>
  <c r="H20" i="18" s="1"/>
  <c r="E14" i="17"/>
  <c r="F14" i="17"/>
  <c r="I18" i="18"/>
  <c r="H18" i="18"/>
  <c r="G27" i="20"/>
  <c r="E28" i="20"/>
  <c r="G28" i="20" s="1"/>
  <c r="D28" i="20"/>
  <c r="H17" i="19"/>
  <c r="H19" i="18"/>
  <c r="I19" i="18"/>
  <c r="S39" i="7"/>
  <c r="C57" i="8"/>
  <c r="F56" i="8"/>
  <c r="C34" i="20" s="1"/>
  <c r="B30" i="20"/>
  <c r="A30" i="20" s="1"/>
  <c r="B44" i="7"/>
  <c r="A44" i="7" s="1"/>
  <c r="B21" i="19"/>
  <c r="A21" i="19" s="1"/>
  <c r="B23" i="18"/>
  <c r="A23" i="18" s="1"/>
  <c r="F15" i="17" l="1"/>
  <c r="G18" i="19"/>
  <c r="D20" i="19"/>
  <c r="F20" i="19"/>
  <c r="D19" i="19"/>
  <c r="F19" i="19"/>
  <c r="F22" i="18"/>
  <c r="D23" i="18"/>
  <c r="D16" i="17"/>
  <c r="E16" i="17" s="1"/>
  <c r="B18" i="17"/>
  <c r="I20" i="18"/>
  <c r="G21" i="18"/>
  <c r="H21" i="18" s="1"/>
  <c r="C44" i="7"/>
  <c r="H44" i="7"/>
  <c r="E29" i="20"/>
  <c r="G29" i="20" s="1"/>
  <c r="D29" i="20"/>
  <c r="F28" i="20"/>
  <c r="H18" i="19"/>
  <c r="I18" i="19"/>
  <c r="C58" i="8"/>
  <c r="F57" i="8"/>
  <c r="C35" i="20" s="1"/>
  <c r="B31" i="20"/>
  <c r="A31" i="20" s="1"/>
  <c r="B45" i="7"/>
  <c r="A45" i="7" s="1"/>
  <c r="B22" i="19"/>
  <c r="A22" i="19" s="1"/>
  <c r="B24" i="18"/>
  <c r="A24" i="18" s="1"/>
  <c r="C38" i="13"/>
  <c r="B19" i="17" l="1"/>
  <c r="A19" i="17" s="1"/>
  <c r="A18" i="17"/>
  <c r="F16" i="17"/>
  <c r="G19" i="19"/>
  <c r="H19" i="19" s="1"/>
  <c r="F58" i="13"/>
  <c r="F57" i="13"/>
  <c r="F56" i="13"/>
  <c r="F59" i="13"/>
  <c r="J57" i="13"/>
  <c r="C51" i="13" s="1"/>
  <c r="G20" i="19"/>
  <c r="D21" i="19"/>
  <c r="F21" i="19"/>
  <c r="F23" i="18"/>
  <c r="D17" i="17"/>
  <c r="I21" i="18"/>
  <c r="J58" i="13"/>
  <c r="C52" i="13" s="1"/>
  <c r="H45" i="7"/>
  <c r="C45" i="7"/>
  <c r="E30" i="20"/>
  <c r="G30" i="20" s="1"/>
  <c r="D30" i="20"/>
  <c r="F29" i="20"/>
  <c r="C59" i="8"/>
  <c r="F58" i="8"/>
  <c r="C36" i="20" s="1"/>
  <c r="B32" i="20"/>
  <c r="A32" i="20" s="1"/>
  <c r="B46" i="7"/>
  <c r="A46" i="7" s="1"/>
  <c r="B23" i="19"/>
  <c r="A23" i="19" s="1"/>
  <c r="B25" i="18"/>
  <c r="A25" i="18" s="1"/>
  <c r="B20" i="17"/>
  <c r="A20" i="17" s="1"/>
  <c r="B11" i="12"/>
  <c r="I19" i="19" l="1"/>
  <c r="C21" i="21"/>
  <c r="C22" i="21" s="1"/>
  <c r="D21" i="21"/>
  <c r="D22" i="21" s="1"/>
  <c r="I20" i="19"/>
  <c r="H20" i="19"/>
  <c r="F22" i="19"/>
  <c r="G21" i="19"/>
  <c r="F24" i="18"/>
  <c r="F17" i="17"/>
  <c r="E17" i="17"/>
  <c r="D18" i="17"/>
  <c r="D19" i="17"/>
  <c r="E19" i="17" s="1"/>
  <c r="H46" i="7"/>
  <c r="C46" i="7"/>
  <c r="F30" i="20"/>
  <c r="E31" i="20"/>
  <c r="G31" i="20" s="1"/>
  <c r="D31" i="20"/>
  <c r="D50" i="12"/>
  <c r="D44" i="12"/>
  <c r="D38" i="12"/>
  <c r="D32" i="12"/>
  <c r="D20" i="12"/>
  <c r="E55" i="12"/>
  <c r="E49" i="12"/>
  <c r="E43" i="12"/>
  <c r="D55" i="12"/>
  <c r="D49" i="12"/>
  <c r="D43" i="12"/>
  <c r="D37" i="12"/>
  <c r="D31" i="12"/>
  <c r="D19" i="12"/>
  <c r="D54" i="12"/>
  <c r="D48" i="12"/>
  <c r="D42" i="12"/>
  <c r="D30" i="12"/>
  <c r="D18" i="12"/>
  <c r="D57" i="12"/>
  <c r="D27" i="12"/>
  <c r="D51" i="12"/>
  <c r="E50" i="12"/>
  <c r="D45" i="12"/>
  <c r="E20" i="12"/>
  <c r="E44" i="12"/>
  <c r="E19" i="12"/>
  <c r="D39" i="12"/>
  <c r="D15" i="12"/>
  <c r="E38" i="12"/>
  <c r="D33" i="12"/>
  <c r="E37" i="12"/>
  <c r="E32" i="12"/>
  <c r="E31" i="12"/>
  <c r="D26" i="12"/>
  <c r="E47" i="12"/>
  <c r="D34" i="12"/>
  <c r="D17" i="12"/>
  <c r="E53" i="12"/>
  <c r="E57" i="12"/>
  <c r="D40" i="12"/>
  <c r="E16" i="12"/>
  <c r="D29" i="12"/>
  <c r="D52" i="12"/>
  <c r="D16" i="12"/>
  <c r="D35" i="12"/>
  <c r="E15" i="12"/>
  <c r="D41" i="12"/>
  <c r="E27" i="12"/>
  <c r="E26" i="12"/>
  <c r="D47" i="12"/>
  <c r="E33" i="12"/>
  <c r="E28" i="12"/>
  <c r="D53" i="12"/>
  <c r="E39" i="12"/>
  <c r="E34" i="12"/>
  <c r="E18" i="12"/>
  <c r="E45" i="12"/>
  <c r="E40" i="12"/>
  <c r="E35" i="12"/>
  <c r="D58" i="12"/>
  <c r="E17" i="12"/>
  <c r="E30" i="12"/>
  <c r="E51" i="12"/>
  <c r="E52" i="12"/>
  <c r="E58" i="12"/>
  <c r="E29" i="12"/>
  <c r="E48" i="12"/>
  <c r="E42" i="12"/>
  <c r="E41" i="12"/>
  <c r="E54" i="12"/>
  <c r="D28" i="12"/>
  <c r="D25" i="12"/>
  <c r="E25" i="12"/>
  <c r="E24" i="12"/>
  <c r="D24" i="12"/>
  <c r="E36" i="12"/>
  <c r="D46" i="12"/>
  <c r="D56" i="12"/>
  <c r="D36" i="12"/>
  <c r="E46" i="12"/>
  <c r="E56" i="12"/>
  <c r="C60" i="8"/>
  <c r="F59" i="8"/>
  <c r="C37" i="20" s="1"/>
  <c r="B33" i="20"/>
  <c r="A33" i="20" s="1"/>
  <c r="B47" i="7"/>
  <c r="A47" i="7" s="1"/>
  <c r="B24" i="19"/>
  <c r="A24" i="19" s="1"/>
  <c r="B26" i="18"/>
  <c r="A26" i="18" s="1"/>
  <c r="B21" i="17"/>
  <c r="A21" i="17" s="1"/>
  <c r="C21" i="2"/>
  <c r="C5" i="1"/>
  <c r="F19" i="17" l="1"/>
  <c r="H21" i="19"/>
  <c r="I21" i="19"/>
  <c r="F23" i="19"/>
  <c r="F25" i="18"/>
  <c r="F18" i="17"/>
  <c r="E18" i="17"/>
  <c r="F31" i="20"/>
  <c r="H47" i="7"/>
  <c r="C47" i="7"/>
  <c r="E32" i="20"/>
  <c r="G32" i="20" s="1"/>
  <c r="D32" i="20"/>
  <c r="C61" i="8"/>
  <c r="F60" i="8"/>
  <c r="C38" i="20" s="1"/>
  <c r="B34" i="20"/>
  <c r="A34" i="20" s="1"/>
  <c r="B48" i="7"/>
  <c r="A48" i="7" s="1"/>
  <c r="B25" i="19"/>
  <c r="A25" i="19" s="1"/>
  <c r="B27" i="18"/>
  <c r="A27" i="18" s="1"/>
  <c r="B22" i="17"/>
  <c r="A22" i="17" s="1"/>
  <c r="F24" i="19" l="1"/>
  <c r="F26" i="18"/>
  <c r="C48" i="7"/>
  <c r="H48" i="7"/>
  <c r="F32" i="20"/>
  <c r="E33" i="20"/>
  <c r="F33" i="20" s="1"/>
  <c r="D33" i="20"/>
  <c r="C62" i="8"/>
  <c r="F61" i="8"/>
  <c r="C39" i="20" s="1"/>
  <c r="B35" i="20"/>
  <c r="A35" i="20" s="1"/>
  <c r="B49" i="7"/>
  <c r="A49" i="7" s="1"/>
  <c r="B26" i="19"/>
  <c r="A26" i="19" s="1"/>
  <c r="B28" i="18"/>
  <c r="A28" i="18" s="1"/>
  <c r="B23" i="17"/>
  <c r="A23" i="17" s="1"/>
  <c r="F25" i="19" l="1"/>
  <c r="F27" i="18"/>
  <c r="H49" i="7"/>
  <c r="C49" i="7"/>
  <c r="G33" i="20"/>
  <c r="E34" i="20"/>
  <c r="F34" i="20" s="1"/>
  <c r="D34" i="20"/>
  <c r="C63" i="8"/>
  <c r="F62" i="8"/>
  <c r="C40" i="20" s="1"/>
  <c r="B36" i="20"/>
  <c r="A36" i="20" s="1"/>
  <c r="B50" i="7"/>
  <c r="A50" i="7" s="1"/>
  <c r="B27" i="19"/>
  <c r="A27" i="19" s="1"/>
  <c r="B29" i="18"/>
  <c r="A29" i="18" s="1"/>
  <c r="B24" i="17"/>
  <c r="A24" i="17" s="1"/>
  <c r="C6" i="1"/>
  <c r="F26" i="19" l="1"/>
  <c r="F28" i="18"/>
  <c r="C50" i="7"/>
  <c r="H50" i="7"/>
  <c r="G34" i="20"/>
  <c r="E35" i="20"/>
  <c r="F35" i="20" s="1"/>
  <c r="D35" i="20"/>
  <c r="C64" i="8"/>
  <c r="F63" i="8"/>
  <c r="C41" i="20" s="1"/>
  <c r="B37" i="20"/>
  <c r="A37" i="20" s="1"/>
  <c r="B51" i="7"/>
  <c r="A51" i="7" s="1"/>
  <c r="B28" i="19"/>
  <c r="A28" i="19" s="1"/>
  <c r="B30" i="18"/>
  <c r="A30" i="18" s="1"/>
  <c r="B25" i="17"/>
  <c r="A25" i="17" s="1"/>
  <c r="C7" i="1"/>
  <c r="C17" i="1" s="1"/>
  <c r="F27" i="19" l="1"/>
  <c r="F29" i="18"/>
  <c r="G35" i="20"/>
  <c r="C51" i="7"/>
  <c r="H51" i="7"/>
  <c r="C19" i="1"/>
  <c r="C22" i="1"/>
  <c r="C18" i="1"/>
  <c r="C57" i="1"/>
  <c r="C55" i="1"/>
  <c r="C56" i="1"/>
  <c r="C21" i="1"/>
  <c r="C54" i="1"/>
  <c r="C20" i="1"/>
  <c r="C58" i="1"/>
  <c r="E36" i="20"/>
  <c r="F36" i="20" s="1"/>
  <c r="D36" i="20"/>
  <c r="C65" i="8"/>
  <c r="F64" i="8"/>
  <c r="C42" i="20" s="1"/>
  <c r="B38" i="20"/>
  <c r="A38" i="20" s="1"/>
  <c r="B52" i="7"/>
  <c r="A52" i="7" s="1"/>
  <c r="B29" i="19"/>
  <c r="A29" i="19" s="1"/>
  <c r="B31" i="18"/>
  <c r="A31" i="18" s="1"/>
  <c r="B26" i="17"/>
  <c r="A26" i="17" s="1"/>
  <c r="B15" i="3"/>
  <c r="E52" i="8"/>
  <c r="E62" i="8"/>
  <c r="C6" i="17"/>
  <c r="B16" i="3"/>
  <c r="C7" i="18" s="1"/>
  <c r="F28" i="19" l="1"/>
  <c r="F30" i="18"/>
  <c r="C52" i="7"/>
  <c r="H52" i="7"/>
  <c r="C20" i="17"/>
  <c r="D20" i="17" s="1"/>
  <c r="C25" i="17"/>
  <c r="C15" i="17"/>
  <c r="C30" i="17"/>
  <c r="C35" i="17"/>
  <c r="C40" i="17"/>
  <c r="C14" i="17"/>
  <c r="C54" i="17"/>
  <c r="C51" i="17"/>
  <c r="C55" i="17"/>
  <c r="C53" i="17"/>
  <c r="C52" i="17"/>
  <c r="C45" i="17"/>
  <c r="C41" i="17"/>
  <c r="C46" i="17"/>
  <c r="C43" i="17"/>
  <c r="C49" i="17"/>
  <c r="C50" i="17"/>
  <c r="C48" i="17"/>
  <c r="C44" i="17"/>
  <c r="C47" i="17"/>
  <c r="C42" i="17"/>
  <c r="C16" i="17"/>
  <c r="C26" i="17"/>
  <c r="D26" i="17" s="1"/>
  <c r="C31" i="17"/>
  <c r="C21" i="17"/>
  <c r="D21" i="17" s="1"/>
  <c r="C36" i="17"/>
  <c r="C22" i="17"/>
  <c r="D22" i="17" s="1"/>
  <c r="C37" i="17"/>
  <c r="C27" i="17"/>
  <c r="C17" i="17"/>
  <c r="C32" i="17"/>
  <c r="C23" i="17"/>
  <c r="D23" i="17" s="1"/>
  <c r="C18" i="17"/>
  <c r="C28" i="17"/>
  <c r="C33" i="17"/>
  <c r="C38" i="17"/>
  <c r="C39" i="17"/>
  <c r="C24" i="17"/>
  <c r="D24" i="17" s="1"/>
  <c r="C29" i="17"/>
  <c r="C34" i="17"/>
  <c r="C19" i="17"/>
  <c r="E37" i="20"/>
  <c r="G37" i="20" s="1"/>
  <c r="D37" i="20"/>
  <c r="G36" i="20"/>
  <c r="C66" i="8"/>
  <c r="F65" i="8"/>
  <c r="C43" i="20" s="1"/>
  <c r="B39" i="20"/>
  <c r="A39" i="20" s="1"/>
  <c r="B53" i="7"/>
  <c r="A53" i="7" s="1"/>
  <c r="B30" i="19"/>
  <c r="A30" i="19" s="1"/>
  <c r="B32" i="18"/>
  <c r="A32" i="18" s="1"/>
  <c r="B27" i="17"/>
  <c r="A27" i="17" s="1"/>
  <c r="D52" i="8"/>
  <c r="C24" i="33" s="1"/>
  <c r="D62" i="8"/>
  <c r="C34" i="33" s="1"/>
  <c r="D34" i="33" s="1"/>
  <c r="E34" i="33" s="1"/>
  <c r="C8" i="19"/>
  <c r="D28" i="19" s="1"/>
  <c r="B25" i="3"/>
  <c r="C10" i="18"/>
  <c r="F34" i="33" l="1"/>
  <c r="G34" i="33"/>
  <c r="D31" i="18"/>
  <c r="D24" i="18"/>
  <c r="D25" i="18"/>
  <c r="D26" i="18"/>
  <c r="D27" i="18"/>
  <c r="D28" i="18"/>
  <c r="D29" i="18"/>
  <c r="D30" i="18"/>
  <c r="F29" i="19"/>
  <c r="D29" i="19"/>
  <c r="D22" i="19"/>
  <c r="G22" i="19" s="1"/>
  <c r="D23" i="19"/>
  <c r="G23" i="19" s="1"/>
  <c r="D24" i="19"/>
  <c r="G24" i="19" s="1"/>
  <c r="D25" i="19"/>
  <c r="G25" i="19" s="1"/>
  <c r="D26" i="19"/>
  <c r="G26" i="19" s="1"/>
  <c r="D27" i="19"/>
  <c r="G27" i="19" s="1"/>
  <c r="D32" i="18"/>
  <c r="F31" i="18"/>
  <c r="D27" i="17"/>
  <c r="D25" i="17"/>
  <c r="E25" i="17" s="1"/>
  <c r="E21" i="17"/>
  <c r="F21" i="17"/>
  <c r="E20" i="17"/>
  <c r="F20" i="17"/>
  <c r="E22" i="17"/>
  <c r="F22" i="17"/>
  <c r="F37" i="20"/>
  <c r="G28" i="19"/>
  <c r="H53" i="7"/>
  <c r="C53" i="7"/>
  <c r="E23" i="17"/>
  <c r="F23" i="17"/>
  <c r="F24" i="17"/>
  <c r="E24" i="17"/>
  <c r="C33" i="1"/>
  <c r="C23" i="1"/>
  <c r="E26" i="17"/>
  <c r="F26" i="17"/>
  <c r="E38" i="20"/>
  <c r="G38" i="20" s="1"/>
  <c r="D38" i="20"/>
  <c r="C67" i="8"/>
  <c r="F66" i="8"/>
  <c r="C44" i="20" s="1"/>
  <c r="B40" i="20"/>
  <c r="A40" i="20" s="1"/>
  <c r="B54" i="7"/>
  <c r="A54" i="7" s="1"/>
  <c r="B31" i="19"/>
  <c r="A31" i="19" s="1"/>
  <c r="B33" i="18"/>
  <c r="A33" i="18" s="1"/>
  <c r="B28" i="17"/>
  <c r="A28" i="17" s="1"/>
  <c r="C30" i="2"/>
  <c r="C11" i="1"/>
  <c r="G29" i="19" l="1"/>
  <c r="I29" i="19" s="1"/>
  <c r="I24" i="19"/>
  <c r="H24" i="19"/>
  <c r="I23" i="19"/>
  <c r="H23" i="19"/>
  <c r="H22" i="19"/>
  <c r="I22" i="19"/>
  <c r="F30" i="19"/>
  <c r="D30" i="19"/>
  <c r="F32" i="18"/>
  <c r="G32" i="18" s="1"/>
  <c r="I32" i="18" s="1"/>
  <c r="D33" i="18"/>
  <c r="F25" i="17"/>
  <c r="H29" i="19"/>
  <c r="I27" i="19"/>
  <c r="H27" i="19"/>
  <c r="H28" i="19"/>
  <c r="I28" i="19"/>
  <c r="H25" i="19"/>
  <c r="I25" i="19"/>
  <c r="H26" i="19"/>
  <c r="I26" i="19"/>
  <c r="H54" i="7"/>
  <c r="C54" i="7"/>
  <c r="G34" i="2"/>
  <c r="F34" i="2"/>
  <c r="F16" i="1"/>
  <c r="G16" i="1"/>
  <c r="F38" i="20"/>
  <c r="G25" i="18"/>
  <c r="E27" i="17"/>
  <c r="F27" i="17"/>
  <c r="G23" i="18"/>
  <c r="G27" i="18"/>
  <c r="E39" i="20"/>
  <c r="F39" i="20" s="1"/>
  <c r="D39" i="20"/>
  <c r="G22" i="18"/>
  <c r="G26" i="18"/>
  <c r="G28" i="18"/>
  <c r="G30" i="18"/>
  <c r="G29" i="18"/>
  <c r="G31" i="18"/>
  <c r="G24" i="18"/>
  <c r="C68" i="8"/>
  <c r="F67" i="8"/>
  <c r="C45" i="20" s="1"/>
  <c r="B41" i="20"/>
  <c r="A41" i="20" s="1"/>
  <c r="B55" i="7"/>
  <c r="A55" i="7" s="1"/>
  <c r="B32" i="19"/>
  <c r="A32" i="19" s="1"/>
  <c r="B34" i="18"/>
  <c r="A34" i="18" s="1"/>
  <c r="B29" i="17"/>
  <c r="A29" i="17" s="1"/>
  <c r="J46" i="7"/>
  <c r="K46" i="7"/>
  <c r="L46" i="7"/>
  <c r="I46" i="7"/>
  <c r="G30" i="19" l="1"/>
  <c r="H30" i="19" s="1"/>
  <c r="I30" i="19"/>
  <c r="D31" i="19"/>
  <c r="F31" i="19"/>
  <c r="D34" i="18"/>
  <c r="F33" i="18"/>
  <c r="D28" i="17"/>
  <c r="E28" i="17" s="1"/>
  <c r="H32" i="18"/>
  <c r="G39" i="20"/>
  <c r="H55" i="7"/>
  <c r="C55" i="7"/>
  <c r="I22" i="18"/>
  <c r="H22" i="18"/>
  <c r="I23" i="18"/>
  <c r="H23" i="18"/>
  <c r="I24" i="18"/>
  <c r="H24" i="18"/>
  <c r="I30" i="18"/>
  <c r="H30" i="18"/>
  <c r="I26" i="18"/>
  <c r="H26" i="18"/>
  <c r="I29" i="18"/>
  <c r="H29" i="18"/>
  <c r="I25" i="18"/>
  <c r="H25" i="18"/>
  <c r="I27" i="18"/>
  <c r="H27" i="18"/>
  <c r="E40" i="20"/>
  <c r="G40" i="20" s="1"/>
  <c r="D40" i="20"/>
  <c r="H31" i="18"/>
  <c r="I31" i="18"/>
  <c r="I28" i="18"/>
  <c r="H28" i="18"/>
  <c r="C69" i="8"/>
  <c r="F68" i="8"/>
  <c r="C46" i="20" s="1"/>
  <c r="B42" i="20"/>
  <c r="A42" i="20" s="1"/>
  <c r="B56" i="7"/>
  <c r="A56" i="7" s="1"/>
  <c r="B33" i="19"/>
  <c r="A33" i="19" s="1"/>
  <c r="B35" i="18"/>
  <c r="A35" i="18" s="1"/>
  <c r="B30" i="17"/>
  <c r="A30" i="17" s="1"/>
  <c r="D46" i="7"/>
  <c r="M46" i="7" s="1"/>
  <c r="E46" i="7"/>
  <c r="N46" i="7" s="1"/>
  <c r="F46" i="7"/>
  <c r="O46" i="7" s="1"/>
  <c r="G46" i="7"/>
  <c r="Q46" i="7" s="1"/>
  <c r="R46" i="7" s="1"/>
  <c r="B35" i="2"/>
  <c r="A35" i="2" s="1"/>
  <c r="C28" i="2"/>
  <c r="C29" i="2"/>
  <c r="C15" i="2"/>
  <c r="D15" i="2"/>
  <c r="C26" i="2" s="1"/>
  <c r="F5" i="31" l="1"/>
  <c r="F5" i="27"/>
  <c r="F28" i="17"/>
  <c r="G31" i="19"/>
  <c r="F32" i="19"/>
  <c r="D32" i="19"/>
  <c r="D35" i="18"/>
  <c r="F34" i="18"/>
  <c r="D29" i="17"/>
  <c r="F29" i="17" s="1"/>
  <c r="C39" i="2"/>
  <c r="C51" i="2"/>
  <c r="C75" i="2"/>
  <c r="C40" i="2"/>
  <c r="C76" i="2"/>
  <c r="C41" i="2"/>
  <c r="C35" i="2"/>
  <c r="C37" i="2"/>
  <c r="C73" i="2"/>
  <c r="C72" i="2"/>
  <c r="C74" i="2"/>
  <c r="C36" i="2"/>
  <c r="C38" i="2"/>
  <c r="H56" i="7"/>
  <c r="C56" i="7"/>
  <c r="F40" i="20"/>
  <c r="G33" i="18"/>
  <c r="E41" i="20"/>
  <c r="G41" i="20" s="1"/>
  <c r="D41" i="20"/>
  <c r="C70" i="8"/>
  <c r="F69" i="8"/>
  <c r="C47" i="20" s="1"/>
  <c r="B43" i="20"/>
  <c r="A43" i="20" s="1"/>
  <c r="B57" i="7"/>
  <c r="A57" i="7" s="1"/>
  <c r="B34" i="19"/>
  <c r="A34" i="19" s="1"/>
  <c r="B36" i="18"/>
  <c r="A36" i="18" s="1"/>
  <c r="B31" i="17"/>
  <c r="A31" i="17" s="1"/>
  <c r="P46" i="7"/>
  <c r="S46" i="7" s="1"/>
  <c r="X46" i="7"/>
  <c r="V46" i="7"/>
  <c r="W46" i="7"/>
  <c r="U46" i="7"/>
  <c r="B36" i="2"/>
  <c r="A36" i="2" s="1"/>
  <c r="F49" i="31" l="1"/>
  <c r="G49" i="31" s="1"/>
  <c r="F45" i="31"/>
  <c r="G45" i="31" s="1"/>
  <c r="F42" i="31"/>
  <c r="G42" i="31" s="1"/>
  <c r="F50" i="31"/>
  <c r="G50" i="31" s="1"/>
  <c r="F44" i="31"/>
  <c r="G44" i="31" s="1"/>
  <c r="F43" i="31"/>
  <c r="G43" i="31" s="1"/>
  <c r="F46" i="31"/>
  <c r="G46" i="31" s="1"/>
  <c r="F47" i="31"/>
  <c r="G47" i="31" s="1"/>
  <c r="F48" i="31"/>
  <c r="G48" i="31" s="1"/>
  <c r="F21" i="31"/>
  <c r="G21" i="31" s="1"/>
  <c r="F23" i="31"/>
  <c r="G23" i="31" s="1"/>
  <c r="F22" i="31"/>
  <c r="G22" i="31" s="1"/>
  <c r="F24" i="31"/>
  <c r="G24" i="31" s="1"/>
  <c r="F26" i="31"/>
  <c r="G26" i="31" s="1"/>
  <c r="F25" i="31"/>
  <c r="G25" i="31" s="1"/>
  <c r="F28" i="31"/>
  <c r="G28" i="31" s="1"/>
  <c r="F27" i="31"/>
  <c r="G27" i="31" s="1"/>
  <c r="F29" i="31"/>
  <c r="G29" i="31" s="1"/>
  <c r="F30" i="31"/>
  <c r="G30" i="31" s="1"/>
  <c r="F31" i="31"/>
  <c r="G31" i="31" s="1"/>
  <c r="F32" i="31"/>
  <c r="G32" i="31" s="1"/>
  <c r="F33" i="31"/>
  <c r="G33" i="31" s="1"/>
  <c r="F34" i="31"/>
  <c r="G34" i="31" s="1"/>
  <c r="F35" i="31"/>
  <c r="G35" i="31" s="1"/>
  <c r="F36" i="31"/>
  <c r="G36" i="31" s="1"/>
  <c r="F38" i="31"/>
  <c r="G38" i="31" s="1"/>
  <c r="F37" i="31"/>
  <c r="G37" i="31" s="1"/>
  <c r="F40" i="31"/>
  <c r="G40" i="31" s="1"/>
  <c r="F39" i="31"/>
  <c r="G39" i="31" s="1"/>
  <c r="F41" i="31"/>
  <c r="G41" i="31" s="1"/>
  <c r="E29" i="17"/>
  <c r="G32" i="19"/>
  <c r="I32" i="19" s="1"/>
  <c r="H31" i="19"/>
  <c r="I31" i="19"/>
  <c r="F33" i="19"/>
  <c r="D33" i="19"/>
  <c r="G33" i="19" s="1"/>
  <c r="H33" i="19" s="1"/>
  <c r="H32" i="19"/>
  <c r="D36" i="18"/>
  <c r="F35" i="18"/>
  <c r="D30" i="17"/>
  <c r="F30" i="17" s="1"/>
  <c r="D35" i="2"/>
  <c r="C57" i="7"/>
  <c r="H57" i="7"/>
  <c r="J56" i="7"/>
  <c r="K56" i="7"/>
  <c r="I56" i="7"/>
  <c r="L56" i="7"/>
  <c r="I33" i="18"/>
  <c r="H33" i="18"/>
  <c r="G34" i="18"/>
  <c r="E42" i="20"/>
  <c r="F42" i="20" s="1"/>
  <c r="D42" i="20"/>
  <c r="F41" i="20"/>
  <c r="C71" i="8"/>
  <c r="F70" i="8"/>
  <c r="C48" i="20" s="1"/>
  <c r="B44" i="20"/>
  <c r="A44" i="20" s="1"/>
  <c r="G56" i="7"/>
  <c r="D56" i="7"/>
  <c r="E56" i="7"/>
  <c r="F56" i="7"/>
  <c r="B58" i="7"/>
  <c r="A58" i="7" s="1"/>
  <c r="T46" i="7"/>
  <c r="B35" i="19"/>
  <c r="A35" i="19" s="1"/>
  <c r="B37" i="18"/>
  <c r="A37" i="18" s="1"/>
  <c r="B32" i="17"/>
  <c r="A32" i="17" s="1"/>
  <c r="B37" i="2"/>
  <c r="A37" i="2" s="1"/>
  <c r="B17" i="1"/>
  <c r="A17" i="1" s="1"/>
  <c r="I40" i="31" l="1"/>
  <c r="H40" i="31"/>
  <c r="H35" i="31"/>
  <c r="I35" i="31"/>
  <c r="I31" i="31"/>
  <c r="H31" i="31"/>
  <c r="I28" i="31"/>
  <c r="H28" i="31"/>
  <c r="H22" i="31"/>
  <c r="I22" i="31"/>
  <c r="I47" i="31"/>
  <c r="H47" i="31"/>
  <c r="H50" i="31"/>
  <c r="I50" i="31"/>
  <c r="I37" i="31"/>
  <c r="H37" i="31"/>
  <c r="H34" i="31"/>
  <c r="I34" i="31"/>
  <c r="H30" i="31"/>
  <c r="I30" i="31"/>
  <c r="I25" i="31"/>
  <c r="H25" i="31"/>
  <c r="I23" i="31"/>
  <c r="H23" i="31"/>
  <c r="H46" i="31"/>
  <c r="I46" i="31"/>
  <c r="H42" i="31"/>
  <c r="I42" i="31"/>
  <c r="H41" i="31"/>
  <c r="I41" i="31"/>
  <c r="H38" i="31"/>
  <c r="I38" i="31"/>
  <c r="I33" i="31"/>
  <c r="H33" i="31"/>
  <c r="I29" i="31"/>
  <c r="H29" i="31"/>
  <c r="H26" i="31"/>
  <c r="I26" i="31"/>
  <c r="H21" i="31"/>
  <c r="I21" i="31"/>
  <c r="H43" i="31"/>
  <c r="I43" i="31"/>
  <c r="I45" i="31"/>
  <c r="H45" i="31"/>
  <c r="H39" i="31"/>
  <c r="I39" i="31"/>
  <c r="H36" i="31"/>
  <c r="I36" i="31"/>
  <c r="H32" i="31"/>
  <c r="I32" i="31"/>
  <c r="I27" i="31"/>
  <c r="H27" i="31"/>
  <c r="H24" i="31"/>
  <c r="I24" i="31"/>
  <c r="H48" i="31"/>
  <c r="I48" i="31"/>
  <c r="I44" i="31"/>
  <c r="H44" i="31"/>
  <c r="H49" i="31"/>
  <c r="I49" i="31"/>
  <c r="E30" i="17"/>
  <c r="I33" i="19"/>
  <c r="D34" i="19"/>
  <c r="F34" i="19"/>
  <c r="D37" i="18"/>
  <c r="F36" i="18"/>
  <c r="D31" i="17"/>
  <c r="F31" i="17" s="1"/>
  <c r="D36" i="2"/>
  <c r="E36" i="2" s="1"/>
  <c r="F36" i="2" s="1"/>
  <c r="E35" i="2"/>
  <c r="G35" i="2" s="1"/>
  <c r="H58" i="7"/>
  <c r="C58" i="7"/>
  <c r="G42" i="20"/>
  <c r="G35" i="18"/>
  <c r="I35" i="18" s="1"/>
  <c r="E43" i="20"/>
  <c r="G43" i="20" s="1"/>
  <c r="D43" i="20"/>
  <c r="I34" i="18"/>
  <c r="H34" i="18"/>
  <c r="B38" i="2"/>
  <c r="A38" i="2" s="1"/>
  <c r="C72" i="8"/>
  <c r="F71" i="8"/>
  <c r="C49" i="20" s="1"/>
  <c r="B45" i="20"/>
  <c r="A45" i="20" s="1"/>
  <c r="N56" i="7"/>
  <c r="V56" i="7"/>
  <c r="B59" i="7"/>
  <c r="A59" i="7" s="1"/>
  <c r="M56" i="7"/>
  <c r="U56" i="7"/>
  <c r="O56" i="7"/>
  <c r="W56" i="7"/>
  <c r="X56" i="7"/>
  <c r="Q56" i="7"/>
  <c r="R56" i="7" s="1"/>
  <c r="B36" i="19"/>
  <c r="A36" i="19" s="1"/>
  <c r="B38" i="18"/>
  <c r="A38" i="18" s="1"/>
  <c r="B33" i="17"/>
  <c r="A33" i="17" s="1"/>
  <c r="B18" i="1"/>
  <c r="A18" i="1" s="1"/>
  <c r="I57" i="31" l="1"/>
  <c r="D12" i="21" s="1"/>
  <c r="H57" i="31"/>
  <c r="C12" i="21" s="1"/>
  <c r="E31" i="17"/>
  <c r="G36" i="2"/>
  <c r="D35" i="19"/>
  <c r="F35" i="19"/>
  <c r="G34" i="19"/>
  <c r="F37" i="18"/>
  <c r="D38" i="18"/>
  <c r="D32" i="17"/>
  <c r="E32" i="17" s="1"/>
  <c r="F35" i="2"/>
  <c r="D17" i="1"/>
  <c r="E17" i="1" s="1"/>
  <c r="F17" i="1" s="1"/>
  <c r="D37" i="2"/>
  <c r="G36" i="18"/>
  <c r="I36" i="18" s="1"/>
  <c r="H35" i="18"/>
  <c r="H59" i="7"/>
  <c r="C59" i="7"/>
  <c r="F43" i="20"/>
  <c r="E44" i="20"/>
  <c r="F44" i="20" s="1"/>
  <c r="D44" i="20"/>
  <c r="B39" i="2"/>
  <c r="A39" i="2" s="1"/>
  <c r="F72" i="8"/>
  <c r="C50" i="20" s="1"/>
  <c r="E72" i="8"/>
  <c r="D72" i="8" s="1"/>
  <c r="C44" i="33" s="1"/>
  <c r="D44" i="33" s="1"/>
  <c r="E44" i="33" s="1"/>
  <c r="B19" i="1"/>
  <c r="A19" i="1" s="1"/>
  <c r="B46" i="20"/>
  <c r="A46" i="20" s="1"/>
  <c r="P56" i="7"/>
  <c r="S56" i="7" s="1"/>
  <c r="B60" i="7"/>
  <c r="A60" i="7" s="1"/>
  <c r="B37" i="19"/>
  <c r="A37" i="19" s="1"/>
  <c r="B39" i="18"/>
  <c r="A39" i="18" s="1"/>
  <c r="B34" i="17"/>
  <c r="A34" i="17" s="1"/>
  <c r="B40" i="2"/>
  <c r="A40" i="2" s="1"/>
  <c r="G44" i="33" l="1"/>
  <c r="F44" i="33"/>
  <c r="G17" i="1"/>
  <c r="D36" i="19"/>
  <c r="F36" i="19"/>
  <c r="H34" i="19"/>
  <c r="I34" i="19"/>
  <c r="G35" i="19"/>
  <c r="F38" i="18"/>
  <c r="D39" i="18"/>
  <c r="F32" i="17"/>
  <c r="D33" i="17"/>
  <c r="E33" i="17" s="1"/>
  <c r="C61" i="2"/>
  <c r="D18" i="1"/>
  <c r="E18" i="1" s="1"/>
  <c r="G18" i="1" s="1"/>
  <c r="D19" i="1"/>
  <c r="D38" i="2"/>
  <c r="H36" i="18"/>
  <c r="C60" i="7"/>
  <c r="H60" i="7"/>
  <c r="C43" i="1"/>
  <c r="G37" i="18"/>
  <c r="G44" i="20"/>
  <c r="E45" i="20"/>
  <c r="G45" i="20" s="1"/>
  <c r="D45" i="20"/>
  <c r="B20" i="1"/>
  <c r="A20" i="1" s="1"/>
  <c r="T56" i="7"/>
  <c r="B47" i="20"/>
  <c r="A47" i="20" s="1"/>
  <c r="B61" i="7"/>
  <c r="A61" i="7" s="1"/>
  <c r="B38" i="19"/>
  <c r="A38" i="19" s="1"/>
  <c r="B40" i="18"/>
  <c r="A40" i="18" s="1"/>
  <c r="B35" i="17"/>
  <c r="A35" i="17" s="1"/>
  <c r="B41" i="2"/>
  <c r="A41" i="2" s="1"/>
  <c r="D41" i="2" s="1"/>
  <c r="F18" i="1" l="1"/>
  <c r="F33" i="17"/>
  <c r="F37" i="19"/>
  <c r="D37" i="19"/>
  <c r="G37" i="19" s="1"/>
  <c r="H37" i="19" s="1"/>
  <c r="H35" i="19"/>
  <c r="I35" i="19"/>
  <c r="G36" i="19"/>
  <c r="D40" i="18"/>
  <c r="F39" i="18"/>
  <c r="D34" i="17"/>
  <c r="F34" i="17" s="1"/>
  <c r="D20" i="1"/>
  <c r="D39" i="2"/>
  <c r="D40" i="2"/>
  <c r="H61" i="7"/>
  <c r="C61" i="7"/>
  <c r="F45" i="20"/>
  <c r="H37" i="18"/>
  <c r="I37" i="18"/>
  <c r="E46" i="20"/>
  <c r="G46" i="20" s="1"/>
  <c r="D46" i="20"/>
  <c r="G38" i="18"/>
  <c r="E19" i="1"/>
  <c r="B21" i="1"/>
  <c r="A21" i="1" s="1"/>
  <c r="B48" i="20"/>
  <c r="A48" i="20" s="1"/>
  <c r="B62" i="7"/>
  <c r="A62" i="7" s="1"/>
  <c r="B39" i="19"/>
  <c r="A39" i="19" s="1"/>
  <c r="B41" i="18"/>
  <c r="A41" i="18" s="1"/>
  <c r="B36" i="17"/>
  <c r="A36" i="17" s="1"/>
  <c r="B42" i="2"/>
  <c r="A42" i="2" s="1"/>
  <c r="I37" i="19" l="1"/>
  <c r="E34" i="17"/>
  <c r="F38" i="19"/>
  <c r="D38" i="19"/>
  <c r="I36" i="19"/>
  <c r="H36" i="19"/>
  <c r="D41" i="18"/>
  <c r="F40" i="18"/>
  <c r="D35" i="17"/>
  <c r="E35" i="17" s="1"/>
  <c r="G39" i="18"/>
  <c r="H39" i="18" s="1"/>
  <c r="D21" i="1"/>
  <c r="H62" i="7"/>
  <c r="C62" i="7"/>
  <c r="F46" i="20"/>
  <c r="E20" i="1"/>
  <c r="F19" i="1"/>
  <c r="G19" i="1"/>
  <c r="H38" i="18"/>
  <c r="I38" i="18"/>
  <c r="E47" i="20"/>
  <c r="G47" i="20" s="1"/>
  <c r="D47" i="20"/>
  <c r="B22" i="1"/>
  <c r="A22" i="1" s="1"/>
  <c r="B49" i="20"/>
  <c r="A49" i="20" s="1"/>
  <c r="B63" i="7"/>
  <c r="A63" i="7" s="1"/>
  <c r="B40" i="19"/>
  <c r="A40" i="19" s="1"/>
  <c r="B42" i="18"/>
  <c r="A42" i="18" s="1"/>
  <c r="B37" i="17"/>
  <c r="A37" i="17" s="1"/>
  <c r="B43" i="2"/>
  <c r="A43" i="2" s="1"/>
  <c r="F35" i="17" l="1"/>
  <c r="D39" i="19"/>
  <c r="F39" i="19"/>
  <c r="G38" i="19"/>
  <c r="D42" i="18"/>
  <c r="F41" i="18"/>
  <c r="I39" i="18"/>
  <c r="D36" i="17"/>
  <c r="E36" i="17" s="1"/>
  <c r="D22" i="1"/>
  <c r="H63" i="7"/>
  <c r="C63" i="7"/>
  <c r="F47" i="20"/>
  <c r="E21" i="1"/>
  <c r="G40" i="18"/>
  <c r="F20" i="1"/>
  <c r="G20" i="1"/>
  <c r="E48" i="20"/>
  <c r="G48" i="20" s="1"/>
  <c r="D48" i="20"/>
  <c r="B23" i="1"/>
  <c r="A23" i="1" s="1"/>
  <c r="B50" i="20"/>
  <c r="A50" i="20" s="1"/>
  <c r="B64" i="7"/>
  <c r="A64" i="7" s="1"/>
  <c r="B41" i="19"/>
  <c r="A41" i="19" s="1"/>
  <c r="B43" i="18"/>
  <c r="A43" i="18" s="1"/>
  <c r="B38" i="17"/>
  <c r="A38" i="17" s="1"/>
  <c r="B44" i="2"/>
  <c r="A44" i="2" s="1"/>
  <c r="F36" i="17" l="1"/>
  <c r="H38" i="19"/>
  <c r="I38" i="19"/>
  <c r="G39" i="19"/>
  <c r="F40" i="19"/>
  <c r="D40" i="19"/>
  <c r="F42" i="18"/>
  <c r="D43" i="18"/>
  <c r="D37" i="17"/>
  <c r="E37" i="17" s="1"/>
  <c r="D23" i="1"/>
  <c r="C64" i="7"/>
  <c r="H64" i="7"/>
  <c r="F21" i="1"/>
  <c r="G21" i="1"/>
  <c r="G41" i="18"/>
  <c r="E22" i="1"/>
  <c r="F48" i="20"/>
  <c r="E49" i="20"/>
  <c r="G49" i="20" s="1"/>
  <c r="D49" i="20"/>
  <c r="H40" i="18"/>
  <c r="I40" i="18"/>
  <c r="B24" i="1"/>
  <c r="A24" i="1" s="1"/>
  <c r="B51" i="20"/>
  <c r="A51" i="20" s="1"/>
  <c r="B65" i="7"/>
  <c r="A65" i="7" s="1"/>
  <c r="B42" i="19"/>
  <c r="A42" i="19" s="1"/>
  <c r="B44" i="18"/>
  <c r="A44" i="18" s="1"/>
  <c r="B39" i="17"/>
  <c r="A39" i="17" s="1"/>
  <c r="B45" i="2"/>
  <c r="A45" i="2" s="1"/>
  <c r="F37" i="17" l="1"/>
  <c r="G40" i="19"/>
  <c r="H40" i="19" s="1"/>
  <c r="I40" i="19"/>
  <c r="H39" i="19"/>
  <c r="I39" i="19"/>
  <c r="D41" i="19"/>
  <c r="F41" i="19"/>
  <c r="F43" i="18"/>
  <c r="D44" i="18"/>
  <c r="D38" i="17"/>
  <c r="F38" i="17" s="1"/>
  <c r="C65" i="7"/>
  <c r="H65" i="7"/>
  <c r="F22" i="1"/>
  <c r="G22" i="1"/>
  <c r="E50" i="20"/>
  <c r="F50" i="20" s="1"/>
  <c r="D50" i="20"/>
  <c r="I41" i="18"/>
  <c r="H41" i="18"/>
  <c r="G42" i="18"/>
  <c r="F49" i="20"/>
  <c r="E23" i="1"/>
  <c r="B25" i="1"/>
  <c r="A25" i="1" s="1"/>
  <c r="B52" i="20"/>
  <c r="A52" i="20" s="1"/>
  <c r="B66" i="7"/>
  <c r="A66" i="7" s="1"/>
  <c r="B43" i="19"/>
  <c r="A43" i="19" s="1"/>
  <c r="B45" i="18"/>
  <c r="A45" i="18" s="1"/>
  <c r="B40" i="17"/>
  <c r="A40" i="17" s="1"/>
  <c r="B46" i="2"/>
  <c r="A46" i="2" s="1"/>
  <c r="E38" i="17" l="1"/>
  <c r="G41" i="19"/>
  <c r="F42" i="19"/>
  <c r="D42" i="19"/>
  <c r="F44" i="18"/>
  <c r="D45" i="18"/>
  <c r="D39" i="17"/>
  <c r="E39" i="17" s="1"/>
  <c r="G43" i="18"/>
  <c r="H43" i="18" s="1"/>
  <c r="C66" i="7"/>
  <c r="H66" i="7"/>
  <c r="G50" i="20"/>
  <c r="F23" i="1"/>
  <c r="G23" i="1"/>
  <c r="E51" i="20"/>
  <c r="F51" i="20" s="1"/>
  <c r="D51" i="20"/>
  <c r="I42" i="18"/>
  <c r="H42" i="18"/>
  <c r="B26" i="1"/>
  <c r="A26" i="1" s="1"/>
  <c r="B53" i="20"/>
  <c r="A53" i="20" s="1"/>
  <c r="B67" i="7"/>
  <c r="A67" i="7" s="1"/>
  <c r="B44" i="19"/>
  <c r="A44" i="19" s="1"/>
  <c r="B46" i="18"/>
  <c r="A46" i="18" s="1"/>
  <c r="B41" i="17"/>
  <c r="A41" i="17" s="1"/>
  <c r="B47" i="2"/>
  <c r="A47" i="2" s="1"/>
  <c r="F39" i="17" l="1"/>
  <c r="D43" i="19"/>
  <c r="F43" i="19"/>
  <c r="I41" i="19"/>
  <c r="H41" i="19"/>
  <c r="G42" i="19"/>
  <c r="I43" i="18"/>
  <c r="F45" i="18"/>
  <c r="D46" i="18"/>
  <c r="D40" i="17"/>
  <c r="E40" i="17" s="1"/>
  <c r="H67" i="7"/>
  <c r="C67" i="7"/>
  <c r="G51" i="20"/>
  <c r="G44" i="18"/>
  <c r="E52" i="20"/>
  <c r="F52" i="20" s="1"/>
  <c r="D52" i="20"/>
  <c r="B27" i="1"/>
  <c r="A27" i="1" s="1"/>
  <c r="B54" i="20"/>
  <c r="A54" i="20" s="1"/>
  <c r="B68" i="7"/>
  <c r="A68" i="7" s="1"/>
  <c r="B45" i="19"/>
  <c r="A45" i="19" s="1"/>
  <c r="B47" i="18"/>
  <c r="A47" i="18" s="1"/>
  <c r="B42" i="17"/>
  <c r="A42" i="17" s="1"/>
  <c r="B48" i="2"/>
  <c r="A48" i="2" s="1"/>
  <c r="F40" i="17" l="1"/>
  <c r="G43" i="19"/>
  <c r="I42" i="19"/>
  <c r="H42" i="19"/>
  <c r="D44" i="19"/>
  <c r="F44" i="19"/>
  <c r="F46" i="18"/>
  <c r="D47" i="18"/>
  <c r="D41" i="17"/>
  <c r="E41" i="17" s="1"/>
  <c r="C68" i="7"/>
  <c r="H68" i="7"/>
  <c r="L67" i="7"/>
  <c r="J67" i="7"/>
  <c r="I67" i="7"/>
  <c r="K67" i="7"/>
  <c r="G52" i="20"/>
  <c r="I44" i="18"/>
  <c r="H44" i="18"/>
  <c r="G45" i="18"/>
  <c r="E53" i="20"/>
  <c r="G53" i="20" s="1"/>
  <c r="D53" i="20"/>
  <c r="B28" i="1"/>
  <c r="A28" i="1" s="1"/>
  <c r="B55" i="20"/>
  <c r="A55" i="20" s="1"/>
  <c r="B69" i="7"/>
  <c r="A69" i="7" s="1"/>
  <c r="D67" i="7"/>
  <c r="G67" i="7"/>
  <c r="E67" i="7"/>
  <c r="F67" i="7"/>
  <c r="B46" i="19"/>
  <c r="A46" i="19" s="1"/>
  <c r="B48" i="18"/>
  <c r="A48" i="18" s="1"/>
  <c r="B43" i="17"/>
  <c r="A43" i="17" s="1"/>
  <c r="B49" i="2"/>
  <c r="A49" i="2" s="1"/>
  <c r="F41" i="17" l="1"/>
  <c r="H43" i="19"/>
  <c r="I43" i="19"/>
  <c r="F45" i="19"/>
  <c r="D45" i="19"/>
  <c r="G44" i="19"/>
  <c r="F47" i="18"/>
  <c r="D48" i="18"/>
  <c r="D42" i="17"/>
  <c r="E42" i="17" s="1"/>
  <c r="C69" i="7"/>
  <c r="H69" i="7"/>
  <c r="K68" i="7"/>
  <c r="J68" i="7"/>
  <c r="I68" i="7"/>
  <c r="L68" i="7"/>
  <c r="F53" i="20"/>
  <c r="I45" i="18"/>
  <c r="H45" i="18"/>
  <c r="G46" i="18"/>
  <c r="E54" i="20"/>
  <c r="F54" i="20" s="1"/>
  <c r="D54" i="20"/>
  <c r="B29" i="1"/>
  <c r="A29" i="1" s="1"/>
  <c r="B56" i="20"/>
  <c r="A56" i="20" s="1"/>
  <c r="O67" i="7"/>
  <c r="W67" i="7"/>
  <c r="V67" i="7"/>
  <c r="N67" i="7"/>
  <c r="D68" i="7"/>
  <c r="F68" i="7"/>
  <c r="G68" i="7"/>
  <c r="E68" i="7"/>
  <c r="Q67" i="7"/>
  <c r="R67" i="7" s="1"/>
  <c r="X67" i="7"/>
  <c r="U67" i="7"/>
  <c r="M67" i="7"/>
  <c r="B70" i="7"/>
  <c r="A70" i="7" s="1"/>
  <c r="B47" i="19"/>
  <c r="A47" i="19" s="1"/>
  <c r="B49" i="18"/>
  <c r="A49" i="18" s="1"/>
  <c r="B44" i="17"/>
  <c r="A44" i="17" s="1"/>
  <c r="B50" i="2"/>
  <c r="A50" i="2" s="1"/>
  <c r="F42" i="17" l="1"/>
  <c r="G45" i="19"/>
  <c r="F46" i="19"/>
  <c r="D46" i="19"/>
  <c r="I44" i="19"/>
  <c r="H44" i="19"/>
  <c r="F48" i="18"/>
  <c r="D49" i="18"/>
  <c r="D43" i="17"/>
  <c r="E43" i="17" s="1"/>
  <c r="G47" i="18"/>
  <c r="H47" i="18" s="1"/>
  <c r="H70" i="7"/>
  <c r="C70" i="7"/>
  <c r="L69" i="7"/>
  <c r="K69" i="7"/>
  <c r="J69" i="7"/>
  <c r="I69" i="7"/>
  <c r="G54" i="20"/>
  <c r="E55" i="20"/>
  <c r="G55" i="20" s="1"/>
  <c r="D55" i="20"/>
  <c r="I46" i="18"/>
  <c r="H46" i="18"/>
  <c r="B30" i="1"/>
  <c r="A30" i="1" s="1"/>
  <c r="B57" i="20"/>
  <c r="A57" i="20" s="1"/>
  <c r="P67" i="7"/>
  <c r="S67" i="7" s="1"/>
  <c r="X68" i="7"/>
  <c r="Q68" i="7"/>
  <c r="R68" i="7" s="1"/>
  <c r="N68" i="7"/>
  <c r="V68" i="7"/>
  <c r="O68" i="7"/>
  <c r="W68" i="7"/>
  <c r="M68" i="7"/>
  <c r="U68" i="7"/>
  <c r="E69" i="7"/>
  <c r="F69" i="7"/>
  <c r="D69" i="7"/>
  <c r="G69" i="7"/>
  <c r="B71" i="7"/>
  <c r="A71" i="7" s="1"/>
  <c r="B48" i="19"/>
  <c r="A48" i="19" s="1"/>
  <c r="B50" i="18"/>
  <c r="A50" i="18" s="1"/>
  <c r="B45" i="17"/>
  <c r="A45" i="17" s="1"/>
  <c r="B51" i="2"/>
  <c r="A51" i="2" s="1"/>
  <c r="F43" i="17" l="1"/>
  <c r="G46" i="19"/>
  <c r="H46" i="19" s="1"/>
  <c r="H45" i="19"/>
  <c r="I45" i="19"/>
  <c r="D47" i="19"/>
  <c r="F47" i="19"/>
  <c r="I46" i="19"/>
  <c r="F49" i="18"/>
  <c r="D50" i="18"/>
  <c r="I47" i="18"/>
  <c r="D44" i="17"/>
  <c r="E44" i="17" s="1"/>
  <c r="B72" i="7"/>
  <c r="A72" i="7" s="1"/>
  <c r="J70" i="7"/>
  <c r="K70" i="7"/>
  <c r="L70" i="7"/>
  <c r="I70" i="7"/>
  <c r="F55" i="20"/>
  <c r="G48" i="18"/>
  <c r="E56" i="20"/>
  <c r="F56" i="20" s="1"/>
  <c r="D56" i="20"/>
  <c r="T67" i="7"/>
  <c r="B31" i="1"/>
  <c r="A31" i="1" s="1"/>
  <c r="B58" i="20"/>
  <c r="A58" i="20" s="1"/>
  <c r="F70" i="7"/>
  <c r="G70" i="7"/>
  <c r="D70" i="7"/>
  <c r="E70" i="7"/>
  <c r="U69" i="7"/>
  <c r="M69" i="7"/>
  <c r="O69" i="7"/>
  <c r="W69" i="7"/>
  <c r="Q69" i="7"/>
  <c r="R69" i="7" s="1"/>
  <c r="X69" i="7"/>
  <c r="N69" i="7"/>
  <c r="V69" i="7"/>
  <c r="P68" i="7"/>
  <c r="B49" i="19"/>
  <c r="A49" i="19" s="1"/>
  <c r="B51" i="18"/>
  <c r="A51" i="18" s="1"/>
  <c r="B46" i="17"/>
  <c r="A46" i="17" s="1"/>
  <c r="B52" i="2"/>
  <c r="A52" i="2" s="1"/>
  <c r="F44" i="17" l="1"/>
  <c r="G47" i="19"/>
  <c r="D48" i="19"/>
  <c r="F48" i="19"/>
  <c r="F50" i="18"/>
  <c r="D51" i="18"/>
  <c r="D45" i="17"/>
  <c r="F45" i="17" s="1"/>
  <c r="D51" i="2"/>
  <c r="C71" i="7"/>
  <c r="E71" i="7" s="1"/>
  <c r="H71" i="7"/>
  <c r="B73" i="7"/>
  <c r="A73" i="7" s="1"/>
  <c r="G56" i="20"/>
  <c r="G49" i="18"/>
  <c r="I49" i="18" s="1"/>
  <c r="E57" i="20"/>
  <c r="G57" i="20" s="1"/>
  <c r="D57" i="20"/>
  <c r="I48" i="18"/>
  <c r="H48" i="18"/>
  <c r="B32" i="1"/>
  <c r="A32" i="1" s="1"/>
  <c r="P69" i="7"/>
  <c r="S69" i="7" s="1"/>
  <c r="B59" i="20"/>
  <c r="T68" i="7"/>
  <c r="S68" i="7"/>
  <c r="X70" i="7"/>
  <c r="Q70" i="7"/>
  <c r="R70" i="7" s="1"/>
  <c r="O70" i="7"/>
  <c r="W70" i="7"/>
  <c r="U70" i="7"/>
  <c r="M70" i="7"/>
  <c r="V70" i="7"/>
  <c r="N70" i="7"/>
  <c r="B50" i="19"/>
  <c r="A50" i="19" s="1"/>
  <c r="B52" i="18"/>
  <c r="A52" i="18" s="1"/>
  <c r="B47" i="17"/>
  <c r="A47" i="17" s="1"/>
  <c r="B53" i="2"/>
  <c r="A53" i="2" s="1"/>
  <c r="B60" i="20" l="1"/>
  <c r="A60" i="20" s="1"/>
  <c r="A59" i="20"/>
  <c r="E45" i="17"/>
  <c r="F49" i="19"/>
  <c r="D49" i="19"/>
  <c r="G48" i="19"/>
  <c r="H47" i="19"/>
  <c r="I47" i="19"/>
  <c r="F51" i="18"/>
  <c r="D52" i="18"/>
  <c r="D46" i="17"/>
  <c r="F46" i="17" s="1"/>
  <c r="D71" i="7"/>
  <c r="G71" i="7"/>
  <c r="F71" i="7"/>
  <c r="H49" i="18"/>
  <c r="B74" i="7"/>
  <c r="A74" i="7" s="1"/>
  <c r="C72" i="7"/>
  <c r="F72" i="7" s="1"/>
  <c r="H72" i="7"/>
  <c r="D72" i="7"/>
  <c r="G72" i="7"/>
  <c r="E72" i="7"/>
  <c r="J71" i="7"/>
  <c r="N71" i="7" s="1"/>
  <c r="I71" i="7"/>
  <c r="L71" i="7"/>
  <c r="K71" i="7"/>
  <c r="F57" i="20"/>
  <c r="G50" i="18"/>
  <c r="E58" i="20"/>
  <c r="F58" i="20" s="1"/>
  <c r="D58" i="20"/>
  <c r="T69" i="7"/>
  <c r="B33" i="1"/>
  <c r="A33" i="1" s="1"/>
  <c r="P70" i="7"/>
  <c r="S70" i="7" s="1"/>
  <c r="B61" i="20"/>
  <c r="A61" i="20" s="1"/>
  <c r="B51" i="19"/>
  <c r="A51" i="19" s="1"/>
  <c r="B53" i="18"/>
  <c r="A53" i="18" s="1"/>
  <c r="B48" i="17"/>
  <c r="A48" i="17" s="1"/>
  <c r="B54" i="2"/>
  <c r="A54" i="2" s="1"/>
  <c r="M71" i="7" l="1"/>
  <c r="E46" i="17"/>
  <c r="X71" i="7"/>
  <c r="Q71" i="7"/>
  <c r="R71" i="7" s="1"/>
  <c r="W71" i="7"/>
  <c r="G49" i="19"/>
  <c r="H48" i="19"/>
  <c r="I48" i="19"/>
  <c r="F50" i="19"/>
  <c r="D50" i="19"/>
  <c r="F52" i="18"/>
  <c r="D53" i="18"/>
  <c r="D47" i="17"/>
  <c r="E47" i="17" s="1"/>
  <c r="U71" i="7"/>
  <c r="V71" i="7"/>
  <c r="O71" i="7"/>
  <c r="D33" i="1"/>
  <c r="I72" i="7"/>
  <c r="U72" i="7" s="1"/>
  <c r="K72" i="7"/>
  <c r="O72" i="7" s="1"/>
  <c r="L72" i="7"/>
  <c r="Q72" i="7" s="1"/>
  <c r="R72" i="7" s="1"/>
  <c r="J72" i="7"/>
  <c r="N72" i="7" s="1"/>
  <c r="B75" i="7"/>
  <c r="A75" i="7" s="1"/>
  <c r="H73" i="7"/>
  <c r="C73" i="7"/>
  <c r="F73" i="7" s="1"/>
  <c r="G58" i="20"/>
  <c r="G51" i="18"/>
  <c r="I50" i="18"/>
  <c r="H50" i="18"/>
  <c r="E59" i="20"/>
  <c r="F59" i="20" s="1"/>
  <c r="D59" i="20"/>
  <c r="E60" i="20"/>
  <c r="G60" i="20" s="1"/>
  <c r="D60" i="20"/>
  <c r="B52" i="19"/>
  <c r="A52" i="19" s="1"/>
  <c r="B54" i="18"/>
  <c r="A54" i="18" s="1"/>
  <c r="T70" i="7"/>
  <c r="B34" i="1"/>
  <c r="A34" i="1" s="1"/>
  <c r="B62" i="20"/>
  <c r="A62" i="20" s="1"/>
  <c r="B49" i="17"/>
  <c r="A49" i="17" s="1"/>
  <c r="B55" i="2"/>
  <c r="A55" i="2" s="1"/>
  <c r="P71" i="7" l="1"/>
  <c r="E73" i="7"/>
  <c r="G73" i="7"/>
  <c r="D73" i="7"/>
  <c r="G50" i="19"/>
  <c r="H50" i="19" s="1"/>
  <c r="I49" i="19"/>
  <c r="H49" i="19"/>
  <c r="I50" i="19"/>
  <c r="D51" i="19"/>
  <c r="F51" i="19"/>
  <c r="D54" i="18"/>
  <c r="F53" i="18"/>
  <c r="D49" i="17"/>
  <c r="F47" i="17"/>
  <c r="D48" i="17"/>
  <c r="F48" i="17" s="1"/>
  <c r="M72" i="7"/>
  <c r="P72" i="7" s="1"/>
  <c r="X72" i="7"/>
  <c r="V72" i="7"/>
  <c r="I73" i="7"/>
  <c r="M73" i="7" s="1"/>
  <c r="J73" i="7"/>
  <c r="V73" i="7" s="1"/>
  <c r="K73" i="7"/>
  <c r="W73" i="7" s="1"/>
  <c r="L73" i="7"/>
  <c r="G59" i="20"/>
  <c r="B76" i="7"/>
  <c r="A76" i="7" s="1"/>
  <c r="W72" i="7"/>
  <c r="C74" i="7"/>
  <c r="D74" i="7" s="1"/>
  <c r="H74" i="7"/>
  <c r="F74" i="7"/>
  <c r="G74" i="7"/>
  <c r="E74" i="7"/>
  <c r="F60" i="20"/>
  <c r="G52" i="18"/>
  <c r="I52" i="18" s="1"/>
  <c r="E33" i="1"/>
  <c r="I51" i="18"/>
  <c r="H51" i="18"/>
  <c r="E61" i="20"/>
  <c r="F61" i="20" s="1"/>
  <c r="D61" i="20"/>
  <c r="B53" i="19"/>
  <c r="A53" i="19" s="1"/>
  <c r="B55" i="18"/>
  <c r="A55" i="18" s="1"/>
  <c r="B50" i="17"/>
  <c r="A50" i="17" s="1"/>
  <c r="B35" i="1"/>
  <c r="A35" i="1" s="1"/>
  <c r="B63" i="20"/>
  <c r="A63" i="20" s="1"/>
  <c r="T71" i="7"/>
  <c r="S71" i="7"/>
  <c r="B56" i="2"/>
  <c r="A56" i="2" s="1"/>
  <c r="Q73" i="7" l="1"/>
  <c r="R73" i="7" s="1"/>
  <c r="E48" i="17"/>
  <c r="G51" i="19"/>
  <c r="D52" i="19"/>
  <c r="F52" i="19"/>
  <c r="D55" i="18"/>
  <c r="F54" i="18"/>
  <c r="D50" i="17"/>
  <c r="O73" i="7"/>
  <c r="N73" i="7"/>
  <c r="I74" i="7"/>
  <c r="M74" i="7" s="1"/>
  <c r="J74" i="7"/>
  <c r="N74" i="7" s="1"/>
  <c r="K74" i="7"/>
  <c r="W74" i="7" s="1"/>
  <c r="L74" i="7"/>
  <c r="Q74" i="7" s="1"/>
  <c r="R74" i="7" s="1"/>
  <c r="U73" i="7"/>
  <c r="B77" i="7"/>
  <c r="A77" i="7" s="1"/>
  <c r="H52" i="18"/>
  <c r="C75" i="7"/>
  <c r="H75" i="7"/>
  <c r="F75" i="7"/>
  <c r="G75" i="7"/>
  <c r="D75" i="7"/>
  <c r="E75" i="7"/>
  <c r="S72" i="7"/>
  <c r="T72" i="7"/>
  <c r="X73" i="7"/>
  <c r="G53" i="18"/>
  <c r="F33" i="1"/>
  <c r="G33" i="1"/>
  <c r="G61" i="20"/>
  <c r="H51" i="19"/>
  <c r="I51" i="19"/>
  <c r="E62" i="20"/>
  <c r="F62" i="20" s="1"/>
  <c r="D62" i="20"/>
  <c r="B54" i="19"/>
  <c r="A54" i="19" s="1"/>
  <c r="B56" i="18"/>
  <c r="A56" i="18" s="1"/>
  <c r="B51" i="17"/>
  <c r="A51" i="17" s="1"/>
  <c r="B36" i="1"/>
  <c r="A36" i="1" s="1"/>
  <c r="B64" i="20"/>
  <c r="A64" i="20" s="1"/>
  <c r="B57" i="2"/>
  <c r="A57" i="2" s="1"/>
  <c r="G52" i="19" l="1"/>
  <c r="D53" i="19"/>
  <c r="F53" i="19"/>
  <c r="D56" i="18"/>
  <c r="F55" i="18"/>
  <c r="D51" i="17"/>
  <c r="P73" i="7"/>
  <c r="T73" i="7" s="1"/>
  <c r="G54" i="18"/>
  <c r="I54" i="18" s="1"/>
  <c r="X74" i="7"/>
  <c r="O74" i="7"/>
  <c r="P74" i="7" s="1"/>
  <c r="J75" i="7"/>
  <c r="N75" i="7" s="1"/>
  <c r="K75" i="7"/>
  <c r="O75" i="7" s="1"/>
  <c r="I75" i="7"/>
  <c r="U75" i="7" s="1"/>
  <c r="L75" i="7"/>
  <c r="X75" i="7" s="1"/>
  <c r="V74" i="7"/>
  <c r="C77" i="7"/>
  <c r="H77" i="7"/>
  <c r="D77" i="7"/>
  <c r="E77" i="7"/>
  <c r="F77" i="7"/>
  <c r="G77" i="7"/>
  <c r="C76" i="7"/>
  <c r="H76" i="7"/>
  <c r="D76" i="7"/>
  <c r="E76" i="7"/>
  <c r="F76" i="7"/>
  <c r="G76" i="7"/>
  <c r="U74" i="7"/>
  <c r="I53" i="18"/>
  <c r="H53" i="18"/>
  <c r="E63" i="20"/>
  <c r="G63" i="20" s="1"/>
  <c r="D63" i="20"/>
  <c r="G62" i="20"/>
  <c r="E49" i="17"/>
  <c r="F49" i="17"/>
  <c r="H52" i="19"/>
  <c r="I52" i="19"/>
  <c r="B55" i="19"/>
  <c r="A55" i="19" s="1"/>
  <c r="B57" i="18"/>
  <c r="A57" i="18" s="1"/>
  <c r="B52" i="17"/>
  <c r="A52" i="17" s="1"/>
  <c r="B37" i="1"/>
  <c r="A37" i="1" s="1"/>
  <c r="B65" i="20"/>
  <c r="A65" i="20" s="1"/>
  <c r="B58" i="2"/>
  <c r="A58" i="2" s="1"/>
  <c r="G53" i="19" l="1"/>
  <c r="Q75" i="7"/>
  <c r="R75" i="7" s="1"/>
  <c r="D54" i="19"/>
  <c r="F54" i="19"/>
  <c r="D57" i="18"/>
  <c r="F56" i="18"/>
  <c r="D52" i="17"/>
  <c r="H54" i="18"/>
  <c r="S73" i="7"/>
  <c r="F63" i="20"/>
  <c r="I76" i="7"/>
  <c r="M76" i="7" s="1"/>
  <c r="J76" i="7"/>
  <c r="N76" i="7" s="1"/>
  <c r="K76" i="7"/>
  <c r="O76" i="7" s="1"/>
  <c r="L76" i="7"/>
  <c r="Q76" i="7" s="1"/>
  <c r="R76" i="7" s="1"/>
  <c r="W75" i="7"/>
  <c r="M75" i="7"/>
  <c r="P75" i="7" s="1"/>
  <c r="T75" i="7" s="1"/>
  <c r="J77" i="7"/>
  <c r="N77" i="7" s="1"/>
  <c r="I77" i="7"/>
  <c r="M77" i="7" s="1"/>
  <c r="L77" i="7"/>
  <c r="X77" i="7" s="1"/>
  <c r="K77" i="7"/>
  <c r="W77" i="7" s="1"/>
  <c r="V75" i="7"/>
  <c r="T74" i="7"/>
  <c r="S74" i="7"/>
  <c r="E50" i="17"/>
  <c r="F50" i="17"/>
  <c r="G55" i="18"/>
  <c r="E64" i="20"/>
  <c r="F64" i="20" s="1"/>
  <c r="D64" i="20"/>
  <c r="H53" i="19"/>
  <c r="I53" i="19"/>
  <c r="B59" i="2"/>
  <c r="A59" i="2" s="1"/>
  <c r="B56" i="19"/>
  <c r="A56" i="19" s="1"/>
  <c r="B58" i="18"/>
  <c r="A58" i="18" s="1"/>
  <c r="B53" i="17"/>
  <c r="A53" i="17" s="1"/>
  <c r="B38" i="1"/>
  <c r="A38" i="1" s="1"/>
  <c r="G54" i="19" l="1"/>
  <c r="D55" i="19"/>
  <c r="F55" i="19"/>
  <c r="D58" i="18"/>
  <c r="F57" i="18"/>
  <c r="D53" i="17"/>
  <c r="G56" i="18"/>
  <c r="I56" i="18" s="1"/>
  <c r="P76" i="7"/>
  <c r="T76" i="7" s="1"/>
  <c r="O77" i="7"/>
  <c r="P77" i="7" s="1"/>
  <c r="Q77" i="7"/>
  <c r="R77" i="7" s="1"/>
  <c r="U77" i="7"/>
  <c r="W76" i="7"/>
  <c r="V77" i="7"/>
  <c r="U76" i="7"/>
  <c r="X76" i="7"/>
  <c r="S75" i="7"/>
  <c r="V76" i="7"/>
  <c r="G64" i="20"/>
  <c r="H54" i="19"/>
  <c r="I54" i="19"/>
  <c r="E65" i="20"/>
  <c r="G65" i="20" s="1"/>
  <c r="D65" i="20"/>
  <c r="E51" i="17"/>
  <c r="F51" i="17"/>
  <c r="H55" i="18"/>
  <c r="I55" i="18"/>
  <c r="B60" i="2"/>
  <c r="A60" i="2" s="1"/>
  <c r="B57" i="19"/>
  <c r="A57" i="19" s="1"/>
  <c r="B59" i="18"/>
  <c r="A59" i="18" s="1"/>
  <c r="B54" i="17"/>
  <c r="A54" i="17" s="1"/>
  <c r="B39" i="1"/>
  <c r="A39" i="1" s="1"/>
  <c r="E53" i="8"/>
  <c r="G55" i="19" l="1"/>
  <c r="D56" i="19"/>
  <c r="F56" i="19"/>
  <c r="G56" i="19" s="1"/>
  <c r="D59" i="18"/>
  <c r="F58" i="18"/>
  <c r="D54" i="17"/>
  <c r="C42" i="2"/>
  <c r="D42" i="2" s="1"/>
  <c r="T77" i="7"/>
  <c r="H56" i="18"/>
  <c r="S77" i="7"/>
  <c r="S76" i="7"/>
  <c r="F65" i="20"/>
  <c r="H55" i="19"/>
  <c r="I55" i="19"/>
  <c r="G57" i="18"/>
  <c r="E52" i="17"/>
  <c r="F52" i="17"/>
  <c r="B61" i="2"/>
  <c r="A61" i="2" s="1"/>
  <c r="B55" i="17"/>
  <c r="A55" i="17" s="1"/>
  <c r="B40" i="1"/>
  <c r="A40" i="1" s="1"/>
  <c r="D53" i="8"/>
  <c r="C25" i="33" s="1"/>
  <c r="D25" i="33" s="1"/>
  <c r="E25" i="33" s="1"/>
  <c r="E63" i="8"/>
  <c r="E73" i="8"/>
  <c r="E54" i="8"/>
  <c r="G25" i="33" l="1"/>
  <c r="F25" i="33"/>
  <c r="D57" i="19"/>
  <c r="F57" i="19"/>
  <c r="F59" i="18"/>
  <c r="G59" i="18" s="1"/>
  <c r="D55" i="17"/>
  <c r="C43" i="2"/>
  <c r="D43" i="2" s="1"/>
  <c r="C62" i="2"/>
  <c r="C52" i="2"/>
  <c r="D52" i="2" s="1"/>
  <c r="C24" i="1"/>
  <c r="D24" i="1" s="1"/>
  <c r="E24" i="1" s="1"/>
  <c r="H56" i="19"/>
  <c r="I56" i="19"/>
  <c r="I57" i="18"/>
  <c r="H57" i="18"/>
  <c r="E53" i="17"/>
  <c r="F53" i="17"/>
  <c r="G58" i="18"/>
  <c r="B62" i="2"/>
  <c r="A62" i="2" s="1"/>
  <c r="B41" i="1"/>
  <c r="A41" i="1" s="1"/>
  <c r="D54" i="8"/>
  <c r="C26" i="33" s="1"/>
  <c r="D26" i="33" s="1"/>
  <c r="E26" i="33" s="1"/>
  <c r="D63" i="8"/>
  <c r="C35" i="33" s="1"/>
  <c r="D35" i="33" s="1"/>
  <c r="E35" i="33" s="1"/>
  <c r="E74" i="8"/>
  <c r="E55" i="8"/>
  <c r="E64" i="8"/>
  <c r="D73" i="8"/>
  <c r="C45" i="33" s="1"/>
  <c r="D45" i="33" s="1"/>
  <c r="E45" i="33" s="1"/>
  <c r="F26" i="33" l="1"/>
  <c r="G26" i="33"/>
  <c r="G45" i="33"/>
  <c r="F45" i="33"/>
  <c r="G35" i="33"/>
  <c r="F35" i="33"/>
  <c r="G57" i="19"/>
  <c r="C63" i="2"/>
  <c r="C53" i="2"/>
  <c r="D53" i="2" s="1"/>
  <c r="C44" i="2"/>
  <c r="D44" i="2" s="1"/>
  <c r="F24" i="1"/>
  <c r="G24" i="1"/>
  <c r="D61" i="2"/>
  <c r="C34" i="1"/>
  <c r="C25" i="1"/>
  <c r="D25" i="1" s="1"/>
  <c r="E25" i="1" s="1"/>
  <c r="C44" i="1"/>
  <c r="H58" i="18"/>
  <c r="I58" i="18"/>
  <c r="I59" i="18"/>
  <c r="H59" i="18"/>
  <c r="G61" i="18"/>
  <c r="H57" i="19"/>
  <c r="H59" i="19" s="1"/>
  <c r="I57" i="19"/>
  <c r="I59" i="19" s="1"/>
  <c r="G59" i="19"/>
  <c r="E54" i="17"/>
  <c r="F54" i="17"/>
  <c r="B63" i="2"/>
  <c r="A63" i="2" s="1"/>
  <c r="B42" i="1"/>
  <c r="A42" i="1" s="1"/>
  <c r="D74" i="8"/>
  <c r="C46" i="33" s="1"/>
  <c r="D46" i="33" s="1"/>
  <c r="E46" i="33" s="1"/>
  <c r="D64" i="8"/>
  <c r="C36" i="33" s="1"/>
  <c r="D36" i="33" s="1"/>
  <c r="E36" i="33" s="1"/>
  <c r="D55" i="8"/>
  <c r="C27" i="33" s="1"/>
  <c r="D27" i="33" s="1"/>
  <c r="E27" i="33" s="1"/>
  <c r="E56" i="8"/>
  <c r="E75" i="8"/>
  <c r="E65" i="8"/>
  <c r="F36" i="33" l="1"/>
  <c r="G36" i="33"/>
  <c r="G27" i="33"/>
  <c r="F27" i="33"/>
  <c r="G46" i="33"/>
  <c r="F46" i="33"/>
  <c r="C54" i="2"/>
  <c r="D54" i="2" s="1"/>
  <c r="C64" i="2"/>
  <c r="C45" i="2"/>
  <c r="D45" i="2" s="1"/>
  <c r="G25" i="1"/>
  <c r="F25" i="1"/>
  <c r="D34" i="1"/>
  <c r="E34" i="1" s="1"/>
  <c r="D62" i="2"/>
  <c r="I61" i="18"/>
  <c r="C45" i="1"/>
  <c r="C26" i="1"/>
  <c r="C35" i="1"/>
  <c r="H61" i="18"/>
  <c r="E55" i="17"/>
  <c r="E57" i="17" s="1"/>
  <c r="F55" i="17"/>
  <c r="F57" i="17" s="1"/>
  <c r="D57" i="17"/>
  <c r="B64" i="2"/>
  <c r="A64" i="2" s="1"/>
  <c r="B43" i="1"/>
  <c r="A43" i="1" s="1"/>
  <c r="D56" i="8"/>
  <c r="C28" i="33" s="1"/>
  <c r="D28" i="33" s="1"/>
  <c r="E28" i="33" s="1"/>
  <c r="D65" i="8"/>
  <c r="C37" i="33" s="1"/>
  <c r="D37" i="33" s="1"/>
  <c r="E37" i="33" s="1"/>
  <c r="D75" i="8"/>
  <c r="C47" i="33" s="1"/>
  <c r="D47" i="33" s="1"/>
  <c r="E47" i="33" s="1"/>
  <c r="D47" i="7"/>
  <c r="E47" i="7"/>
  <c r="F47" i="7"/>
  <c r="G47" i="7"/>
  <c r="I47" i="7"/>
  <c r="J47" i="7"/>
  <c r="K47" i="7"/>
  <c r="L47" i="7"/>
  <c r="I57" i="7"/>
  <c r="J57" i="7"/>
  <c r="K57" i="7"/>
  <c r="L57" i="7"/>
  <c r="E76" i="8"/>
  <c r="E57" i="8"/>
  <c r="E66" i="8"/>
  <c r="F47" i="33" l="1"/>
  <c r="G47" i="33"/>
  <c r="F37" i="33"/>
  <c r="G37" i="33"/>
  <c r="F28" i="33"/>
  <c r="G28" i="33"/>
  <c r="C65" i="2"/>
  <c r="C55" i="2"/>
  <c r="D55" i="2" s="1"/>
  <c r="C46" i="2"/>
  <c r="D46" i="2" s="1"/>
  <c r="F34" i="1"/>
  <c r="G34" i="1"/>
  <c r="D43" i="1"/>
  <c r="D35" i="1"/>
  <c r="E35" i="1" s="1"/>
  <c r="D26" i="1"/>
  <c r="E26" i="1" s="1"/>
  <c r="D63" i="2"/>
  <c r="C46" i="1"/>
  <c r="C36" i="1"/>
  <c r="C27" i="1"/>
  <c r="B65" i="2"/>
  <c r="A65" i="2" s="1"/>
  <c r="B44" i="1"/>
  <c r="A44" i="1" s="1"/>
  <c r="Q47" i="7"/>
  <c r="R47" i="7" s="1"/>
  <c r="O47" i="7"/>
  <c r="N47" i="7"/>
  <c r="M47" i="7"/>
  <c r="D76" i="8"/>
  <c r="C48" i="33" s="1"/>
  <c r="D48" i="33" s="1"/>
  <c r="E48" i="33" s="1"/>
  <c r="U47" i="7"/>
  <c r="D66" i="8"/>
  <c r="C38" i="33" s="1"/>
  <c r="D38" i="33" s="1"/>
  <c r="E38" i="33" s="1"/>
  <c r="D57" i="7"/>
  <c r="M57" i="7" s="1"/>
  <c r="G57" i="7"/>
  <c r="Q57" i="7" s="1"/>
  <c r="R57" i="7" s="1"/>
  <c r="E57" i="7"/>
  <c r="N57" i="7" s="1"/>
  <c r="F57" i="7"/>
  <c r="O57" i="7" s="1"/>
  <c r="G48" i="7"/>
  <c r="D48" i="7"/>
  <c r="E48" i="7"/>
  <c r="F48" i="7"/>
  <c r="D58" i="7"/>
  <c r="E58" i="7"/>
  <c r="F58" i="7"/>
  <c r="G58" i="7"/>
  <c r="J48" i="7"/>
  <c r="K48" i="7"/>
  <c r="L48" i="7"/>
  <c r="I48" i="7"/>
  <c r="J58" i="7"/>
  <c r="K58" i="7"/>
  <c r="L58" i="7"/>
  <c r="I58" i="7"/>
  <c r="X47" i="7"/>
  <c r="W47" i="7"/>
  <c r="V47" i="7"/>
  <c r="D40" i="7"/>
  <c r="E67" i="8"/>
  <c r="E58" i="8"/>
  <c r="E77" i="8"/>
  <c r="D57" i="8"/>
  <c r="C29" i="33" s="1"/>
  <c r="D29" i="33" s="1"/>
  <c r="E29" i="33" s="1"/>
  <c r="G38" i="33" l="1"/>
  <c r="F38" i="33"/>
  <c r="F29" i="33"/>
  <c r="G29" i="33"/>
  <c r="G48" i="33"/>
  <c r="F48" i="33"/>
  <c r="C47" i="2"/>
  <c r="D47" i="2" s="1"/>
  <c r="C56" i="2"/>
  <c r="D56" i="2" s="1"/>
  <c r="C66" i="2"/>
  <c r="G26" i="1"/>
  <c r="F26" i="1"/>
  <c r="F35" i="1"/>
  <c r="G35" i="1"/>
  <c r="D27" i="1"/>
  <c r="E27" i="1" s="1"/>
  <c r="D36" i="1"/>
  <c r="E36" i="1" s="1"/>
  <c r="D44" i="1"/>
  <c r="D64" i="2"/>
  <c r="C47" i="1"/>
  <c r="C28" i="1"/>
  <c r="C37" i="1"/>
  <c r="E43" i="1"/>
  <c r="B66" i="2"/>
  <c r="A66" i="2" s="1"/>
  <c r="B45" i="1"/>
  <c r="A45" i="1" s="1"/>
  <c r="P47" i="7"/>
  <c r="T47" i="7" s="1"/>
  <c r="O58" i="7"/>
  <c r="N58" i="7"/>
  <c r="M58" i="7"/>
  <c r="O48" i="7"/>
  <c r="D58" i="8"/>
  <c r="C30" i="33" s="1"/>
  <c r="D30" i="33" s="1"/>
  <c r="E30" i="33" s="1"/>
  <c r="P57" i="7"/>
  <c r="D67" i="8"/>
  <c r="C39" i="33" s="1"/>
  <c r="D39" i="33" s="1"/>
  <c r="E39" i="33" s="1"/>
  <c r="J40" i="7"/>
  <c r="I40" i="7"/>
  <c r="U40" i="7" s="1"/>
  <c r="L40" i="7"/>
  <c r="K40" i="7"/>
  <c r="U48" i="7"/>
  <c r="M48" i="7"/>
  <c r="V48" i="7"/>
  <c r="N48" i="7"/>
  <c r="X57" i="7"/>
  <c r="Q48" i="7"/>
  <c r="R48" i="7" s="1"/>
  <c r="D77" i="8"/>
  <c r="C49" i="33" s="1"/>
  <c r="D49" i="33" s="1"/>
  <c r="E49" i="33" s="1"/>
  <c r="U58" i="7"/>
  <c r="Q58" i="7"/>
  <c r="R58" i="7" s="1"/>
  <c r="D49" i="7"/>
  <c r="E49" i="7"/>
  <c r="F49" i="7"/>
  <c r="G49" i="7"/>
  <c r="G59" i="7"/>
  <c r="D59" i="7"/>
  <c r="E59" i="7"/>
  <c r="F59" i="7"/>
  <c r="I59" i="7"/>
  <c r="J59" i="7"/>
  <c r="K59" i="7"/>
  <c r="L59" i="7"/>
  <c r="I49" i="7"/>
  <c r="J49" i="7"/>
  <c r="K49" i="7"/>
  <c r="L49" i="7"/>
  <c r="G40" i="7"/>
  <c r="F40" i="7"/>
  <c r="E40" i="7"/>
  <c r="X48" i="7"/>
  <c r="W58" i="7"/>
  <c r="W48" i="7"/>
  <c r="V58" i="7"/>
  <c r="V57" i="7"/>
  <c r="U57" i="7"/>
  <c r="W57" i="7"/>
  <c r="X58" i="7"/>
  <c r="E78" i="8"/>
  <c r="E59" i="8"/>
  <c r="E68" i="8"/>
  <c r="G49" i="33" l="1"/>
  <c r="F49" i="33"/>
  <c r="F39" i="33"/>
  <c r="G39" i="33"/>
  <c r="G30" i="33"/>
  <c r="F30" i="33"/>
  <c r="C57" i="2"/>
  <c r="D57" i="2" s="1"/>
  <c r="C48" i="2"/>
  <c r="D48" i="2" s="1"/>
  <c r="C67" i="2"/>
  <c r="G36" i="1"/>
  <c r="F36" i="1"/>
  <c r="F27" i="1"/>
  <c r="G27" i="1"/>
  <c r="D28" i="1"/>
  <c r="E28" i="1" s="1"/>
  <c r="D45" i="1"/>
  <c r="D37" i="1"/>
  <c r="E37" i="1" s="1"/>
  <c r="F37" i="1" s="1"/>
  <c r="D65" i="2"/>
  <c r="C48" i="1"/>
  <c r="C38" i="1"/>
  <c r="C29" i="1"/>
  <c r="E44" i="1"/>
  <c r="G43" i="1"/>
  <c r="F43" i="1"/>
  <c r="B67" i="2"/>
  <c r="A67" i="2" s="1"/>
  <c r="S47" i="7"/>
  <c r="B46" i="1"/>
  <c r="A46" i="1" s="1"/>
  <c r="N59" i="7"/>
  <c r="P58" i="7"/>
  <c r="S58" i="7" s="1"/>
  <c r="M59" i="7"/>
  <c r="U49" i="7"/>
  <c r="Q59" i="7"/>
  <c r="R59" i="7" s="1"/>
  <c r="M40" i="7"/>
  <c r="Q49" i="7"/>
  <c r="R49" i="7" s="1"/>
  <c r="D78" i="8"/>
  <c r="C50" i="33" s="1"/>
  <c r="D50" i="33" s="1"/>
  <c r="E50" i="33" s="1"/>
  <c r="O49" i="7"/>
  <c r="N49" i="7"/>
  <c r="P48" i="7"/>
  <c r="S57" i="7"/>
  <c r="T57" i="7"/>
  <c r="Q40" i="7"/>
  <c r="R40" i="7" s="1"/>
  <c r="M49" i="7"/>
  <c r="D68" i="8"/>
  <c r="C40" i="33" s="1"/>
  <c r="D40" i="33" s="1"/>
  <c r="E40" i="33" s="1"/>
  <c r="U59" i="7"/>
  <c r="D59" i="8"/>
  <c r="C31" i="33" s="1"/>
  <c r="D31" i="33" s="1"/>
  <c r="E31" i="33" s="1"/>
  <c r="O59" i="7"/>
  <c r="D50" i="7"/>
  <c r="G50" i="7"/>
  <c r="E50" i="7"/>
  <c r="F50" i="7"/>
  <c r="D60" i="7"/>
  <c r="E60" i="7"/>
  <c r="F60" i="7"/>
  <c r="G60" i="7"/>
  <c r="J60" i="7"/>
  <c r="L60" i="7"/>
  <c r="K60" i="7"/>
  <c r="I60" i="7"/>
  <c r="I41" i="7"/>
  <c r="J41" i="7"/>
  <c r="K41" i="7"/>
  <c r="L41" i="7"/>
  <c r="J50" i="7"/>
  <c r="K50" i="7"/>
  <c r="L50" i="7"/>
  <c r="I50" i="7"/>
  <c r="W40" i="7"/>
  <c r="W59" i="7"/>
  <c r="X49" i="7"/>
  <c r="V40" i="7"/>
  <c r="W49" i="7"/>
  <c r="V59" i="7"/>
  <c r="V49" i="7"/>
  <c r="X59" i="7"/>
  <c r="X40" i="7"/>
  <c r="N40" i="7"/>
  <c r="O40" i="7"/>
  <c r="E60" i="8"/>
  <c r="E69" i="8"/>
  <c r="E79" i="8"/>
  <c r="F31" i="33" l="1"/>
  <c r="G31" i="33"/>
  <c r="G40" i="33"/>
  <c r="F40" i="33"/>
  <c r="F50" i="33"/>
  <c r="G50" i="33"/>
  <c r="C49" i="2"/>
  <c r="D49" i="2" s="1"/>
  <c r="C58" i="2"/>
  <c r="D58" i="2" s="1"/>
  <c r="C68" i="2"/>
  <c r="G28" i="1"/>
  <c r="F28" i="1"/>
  <c r="D38" i="1"/>
  <c r="E38" i="1" s="1"/>
  <c r="D29" i="1"/>
  <c r="E29" i="1" s="1"/>
  <c r="G37" i="1"/>
  <c r="D46" i="1"/>
  <c r="D66" i="2"/>
  <c r="C30" i="1"/>
  <c r="C49" i="1"/>
  <c r="C39" i="1"/>
  <c r="F44" i="1"/>
  <c r="G44" i="1"/>
  <c r="E45" i="1"/>
  <c r="B68" i="2"/>
  <c r="A68" i="2" s="1"/>
  <c r="P59" i="7"/>
  <c r="T59" i="7" s="1"/>
  <c r="B47" i="1"/>
  <c r="A47" i="1" s="1"/>
  <c r="O50" i="7"/>
  <c r="X50" i="7"/>
  <c r="U50" i="7"/>
  <c r="T58" i="7"/>
  <c r="N50" i="7"/>
  <c r="U60" i="7"/>
  <c r="P49" i="7"/>
  <c r="S49" i="7" s="1"/>
  <c r="V50" i="7"/>
  <c r="Q50" i="7"/>
  <c r="R50" i="7" s="1"/>
  <c r="D69" i="8"/>
  <c r="C41" i="33" s="1"/>
  <c r="D41" i="33" s="1"/>
  <c r="E41" i="33" s="1"/>
  <c r="M50" i="7"/>
  <c r="Q60" i="7"/>
  <c r="R60" i="7" s="1"/>
  <c r="S48" i="7"/>
  <c r="T48" i="7"/>
  <c r="O60" i="7"/>
  <c r="D60" i="8"/>
  <c r="C32" i="33" s="1"/>
  <c r="D32" i="33" s="1"/>
  <c r="E32" i="33" s="1"/>
  <c r="W50" i="7"/>
  <c r="N60" i="7"/>
  <c r="D79" i="8"/>
  <c r="C51" i="33" s="1"/>
  <c r="D51" i="33" s="1"/>
  <c r="E51" i="33" s="1"/>
  <c r="M60" i="7"/>
  <c r="D42" i="7"/>
  <c r="G42" i="7"/>
  <c r="F42" i="7"/>
  <c r="E42" i="7"/>
  <c r="G61" i="7"/>
  <c r="D61" i="7"/>
  <c r="E61" i="7"/>
  <c r="F61" i="7"/>
  <c r="D41" i="7"/>
  <c r="M41" i="7" s="1"/>
  <c r="E41" i="7"/>
  <c r="N41" i="7" s="1"/>
  <c r="F41" i="7"/>
  <c r="O41" i="7" s="1"/>
  <c r="G41" i="7"/>
  <c r="Q41" i="7" s="1"/>
  <c r="R41" i="7" s="1"/>
  <c r="D51" i="7"/>
  <c r="E51" i="7"/>
  <c r="F51" i="7"/>
  <c r="G51" i="7"/>
  <c r="J42" i="7"/>
  <c r="K42" i="7"/>
  <c r="L42" i="7"/>
  <c r="I42" i="7"/>
  <c r="I51" i="7"/>
  <c r="J51" i="7"/>
  <c r="K51" i="7"/>
  <c r="L51" i="7"/>
  <c r="I61" i="7"/>
  <c r="J61" i="7"/>
  <c r="K61" i="7"/>
  <c r="L61" i="7"/>
  <c r="W60" i="7"/>
  <c r="V60" i="7"/>
  <c r="X60" i="7"/>
  <c r="P40" i="7"/>
  <c r="E70" i="8"/>
  <c r="E80" i="8"/>
  <c r="E61" i="8"/>
  <c r="G51" i="33" l="1"/>
  <c r="F51" i="33"/>
  <c r="F41" i="33"/>
  <c r="G41" i="33"/>
  <c r="F32" i="33"/>
  <c r="G32" i="33"/>
  <c r="C69" i="2"/>
  <c r="C50" i="2"/>
  <c r="D50" i="2" s="1"/>
  <c r="C59" i="2"/>
  <c r="D59" i="2" s="1"/>
  <c r="F29" i="1"/>
  <c r="G29" i="1"/>
  <c r="F38" i="1"/>
  <c r="G38" i="1"/>
  <c r="D30" i="1"/>
  <c r="E30" i="1" s="1"/>
  <c r="D47" i="1"/>
  <c r="D39" i="1"/>
  <c r="E39" i="1" s="1"/>
  <c r="G39" i="1" s="1"/>
  <c r="D67" i="2"/>
  <c r="C50" i="1"/>
  <c r="C31" i="1"/>
  <c r="C40" i="1"/>
  <c r="F45" i="1"/>
  <c r="G45" i="1"/>
  <c r="E46" i="1"/>
  <c r="S59" i="7"/>
  <c r="B69" i="2"/>
  <c r="A69" i="2" s="1"/>
  <c r="P50" i="7"/>
  <c r="S50" i="7" s="1"/>
  <c r="B48" i="1"/>
  <c r="A48" i="1" s="1"/>
  <c r="T49" i="7"/>
  <c r="Q61" i="7"/>
  <c r="R61" i="7" s="1"/>
  <c r="X51" i="7"/>
  <c r="Q42" i="7"/>
  <c r="R42" i="7" s="1"/>
  <c r="U61" i="7"/>
  <c r="M42" i="7"/>
  <c r="O61" i="7"/>
  <c r="U42" i="7"/>
  <c r="Q51" i="7"/>
  <c r="R51" i="7" s="1"/>
  <c r="P60" i="7"/>
  <c r="O51" i="7"/>
  <c r="N61" i="7"/>
  <c r="N51" i="7"/>
  <c r="M61" i="7"/>
  <c r="M51" i="7"/>
  <c r="X61" i="7"/>
  <c r="N42" i="7"/>
  <c r="P41" i="7"/>
  <c r="D61" i="8"/>
  <c r="C33" i="33" s="1"/>
  <c r="D33" i="33" s="1"/>
  <c r="E33" i="33" s="1"/>
  <c r="O42" i="7"/>
  <c r="D62" i="7"/>
  <c r="E62" i="7"/>
  <c r="F62" i="7"/>
  <c r="G62" i="7"/>
  <c r="G52" i="7"/>
  <c r="F52" i="7"/>
  <c r="D52" i="7"/>
  <c r="E52" i="7"/>
  <c r="D43" i="7"/>
  <c r="E43" i="7"/>
  <c r="F43" i="7"/>
  <c r="G43" i="7"/>
  <c r="J62" i="7"/>
  <c r="K62" i="7"/>
  <c r="L62" i="7"/>
  <c r="I62" i="7"/>
  <c r="I43" i="7"/>
  <c r="J43" i="7"/>
  <c r="K43" i="7"/>
  <c r="L43" i="7"/>
  <c r="J52" i="7"/>
  <c r="K52" i="7"/>
  <c r="L52" i="7"/>
  <c r="I52" i="7"/>
  <c r="U51" i="7"/>
  <c r="X41" i="7"/>
  <c r="W61" i="7"/>
  <c r="V61" i="7"/>
  <c r="V51" i="7"/>
  <c r="W42" i="7"/>
  <c r="V42" i="7"/>
  <c r="W51" i="7"/>
  <c r="U41" i="7"/>
  <c r="X42" i="7"/>
  <c r="V41" i="7"/>
  <c r="W41" i="7"/>
  <c r="S40" i="7"/>
  <c r="T40" i="7"/>
  <c r="E71" i="8"/>
  <c r="E81" i="8"/>
  <c r="D80" i="8"/>
  <c r="C52" i="33" s="1"/>
  <c r="D52" i="33" s="1"/>
  <c r="E52" i="33" s="1"/>
  <c r="D70" i="8"/>
  <c r="C42" i="33" s="1"/>
  <c r="D42" i="33" s="1"/>
  <c r="E42" i="33" s="1"/>
  <c r="G52" i="33" l="1"/>
  <c r="F52" i="33"/>
  <c r="G33" i="33"/>
  <c r="F33" i="33"/>
  <c r="G42" i="33"/>
  <c r="F42" i="33"/>
  <c r="C70" i="2"/>
  <c r="C60" i="2"/>
  <c r="D60" i="2" s="1"/>
  <c r="G30" i="1"/>
  <c r="F30" i="1"/>
  <c r="D31" i="1"/>
  <c r="E31" i="1" s="1"/>
  <c r="D48" i="1"/>
  <c r="F39" i="1"/>
  <c r="D40" i="1"/>
  <c r="E40" i="1" s="1"/>
  <c r="D68" i="2"/>
  <c r="C41" i="1"/>
  <c r="C51" i="1"/>
  <c r="C32" i="1"/>
  <c r="F46" i="1"/>
  <c r="G46" i="1"/>
  <c r="E47" i="1"/>
  <c r="B70" i="2"/>
  <c r="A70" i="2" s="1"/>
  <c r="T50" i="7"/>
  <c r="B49" i="1"/>
  <c r="A49" i="1" s="1"/>
  <c r="U43" i="7"/>
  <c r="U62" i="7"/>
  <c r="P51" i="7"/>
  <c r="S51" i="7" s="1"/>
  <c r="P61" i="7"/>
  <c r="S61" i="7" s="1"/>
  <c r="P42" i="7"/>
  <c r="T42" i="7" s="1"/>
  <c r="O52" i="7"/>
  <c r="X52" i="7"/>
  <c r="Q52" i="7"/>
  <c r="R52" i="7" s="1"/>
  <c r="D81" i="8"/>
  <c r="C53" i="33" s="1"/>
  <c r="D53" i="33" s="1"/>
  <c r="E53" i="33" s="1"/>
  <c r="Q43" i="7"/>
  <c r="R43" i="7" s="1"/>
  <c r="Q62" i="7"/>
  <c r="R62" i="7" s="1"/>
  <c r="S60" i="7"/>
  <c r="T60" i="7"/>
  <c r="O43" i="7"/>
  <c r="O62" i="7"/>
  <c r="S41" i="7"/>
  <c r="T41" i="7"/>
  <c r="N43" i="7"/>
  <c r="N62" i="7"/>
  <c r="M43" i="7"/>
  <c r="M62" i="7"/>
  <c r="D71" i="8"/>
  <c r="C43" i="33" s="1"/>
  <c r="D43" i="33" s="1"/>
  <c r="E43" i="33" s="1"/>
  <c r="U52" i="7"/>
  <c r="M52" i="7"/>
  <c r="N52" i="7"/>
  <c r="G44" i="7"/>
  <c r="D44" i="7"/>
  <c r="E44" i="7"/>
  <c r="F44" i="7"/>
  <c r="G63" i="7"/>
  <c r="D63" i="7"/>
  <c r="E63" i="7"/>
  <c r="F63" i="7"/>
  <c r="D53" i="7"/>
  <c r="E53" i="7"/>
  <c r="G53" i="7"/>
  <c r="F53" i="7"/>
  <c r="I53" i="7"/>
  <c r="J53" i="7"/>
  <c r="K53" i="7"/>
  <c r="L53" i="7"/>
  <c r="J44" i="7"/>
  <c r="K44" i="7"/>
  <c r="L44" i="7"/>
  <c r="I44" i="7"/>
  <c r="I63" i="7"/>
  <c r="J63" i="7"/>
  <c r="K63" i="7"/>
  <c r="L63" i="7"/>
  <c r="W52" i="7"/>
  <c r="V43" i="7"/>
  <c r="W43" i="7"/>
  <c r="V52" i="7"/>
  <c r="W62" i="7"/>
  <c r="V62" i="7"/>
  <c r="X62" i="7"/>
  <c r="X43" i="7"/>
  <c r="E82" i="8"/>
  <c r="G43" i="33" l="1"/>
  <c r="F43" i="33"/>
  <c r="F53" i="33"/>
  <c r="G53" i="33"/>
  <c r="C71" i="2"/>
  <c r="G31" i="1"/>
  <c r="F31" i="1"/>
  <c r="F40" i="1"/>
  <c r="G40" i="1"/>
  <c r="D41" i="1"/>
  <c r="E41" i="1" s="1"/>
  <c r="D49" i="1"/>
  <c r="D32" i="1"/>
  <c r="E32" i="1" s="1"/>
  <c r="D69" i="2"/>
  <c r="C52" i="1"/>
  <c r="C42" i="1"/>
  <c r="E48" i="1"/>
  <c r="F47" i="1"/>
  <c r="G47" i="1"/>
  <c r="B71" i="2"/>
  <c r="A71" i="2" s="1"/>
  <c r="B50" i="1"/>
  <c r="A50" i="1" s="1"/>
  <c r="M53" i="7"/>
  <c r="T51" i="7"/>
  <c r="S42" i="7"/>
  <c r="O44" i="7"/>
  <c r="T61" i="7"/>
  <c r="N63" i="7"/>
  <c r="O53" i="7"/>
  <c r="Q53" i="7"/>
  <c r="R53" i="7" s="1"/>
  <c r="N44" i="7"/>
  <c r="N53" i="7"/>
  <c r="U44" i="7"/>
  <c r="M44" i="7"/>
  <c r="Q44" i="7"/>
  <c r="R44" i="7" s="1"/>
  <c r="D82" i="8"/>
  <c r="C54" i="33" s="1"/>
  <c r="D54" i="33" s="1"/>
  <c r="E54" i="33" s="1"/>
  <c r="O63" i="7"/>
  <c r="P62" i="7"/>
  <c r="U63" i="7"/>
  <c r="M63" i="7"/>
  <c r="P43" i="7"/>
  <c r="U53" i="7"/>
  <c r="Q63" i="7"/>
  <c r="R63" i="7" s="1"/>
  <c r="P52" i="7"/>
  <c r="D45" i="7"/>
  <c r="E45" i="7"/>
  <c r="F45" i="7"/>
  <c r="G45" i="7"/>
  <c r="J54" i="7"/>
  <c r="K54" i="7"/>
  <c r="L54" i="7"/>
  <c r="I54" i="7"/>
  <c r="I45" i="7"/>
  <c r="J45" i="7"/>
  <c r="K45" i="7"/>
  <c r="L45" i="7"/>
  <c r="J64" i="7"/>
  <c r="K64" i="7"/>
  <c r="L64" i="7"/>
  <c r="I64" i="7"/>
  <c r="W44" i="7"/>
  <c r="W63" i="7"/>
  <c r="V44" i="7"/>
  <c r="W53" i="7"/>
  <c r="X44" i="7"/>
  <c r="V53" i="7"/>
  <c r="V63" i="7"/>
  <c r="X63" i="7"/>
  <c r="X53" i="7"/>
  <c r="F54" i="33" l="1"/>
  <c r="F61" i="33" s="1"/>
  <c r="C13" i="21" s="1"/>
  <c r="G54" i="33"/>
  <c r="G61" i="33" s="1"/>
  <c r="D13" i="21" s="1"/>
  <c r="F41" i="1"/>
  <c r="G41" i="1"/>
  <c r="F32" i="1"/>
  <c r="G32" i="1"/>
  <c r="D42" i="1"/>
  <c r="E42" i="1" s="1"/>
  <c r="D50" i="1"/>
  <c r="D70" i="2"/>
  <c r="C53" i="1"/>
  <c r="E49" i="1"/>
  <c r="F48" i="1"/>
  <c r="G48" i="1"/>
  <c r="B72" i="2"/>
  <c r="A72" i="2" s="1"/>
  <c r="B51" i="1"/>
  <c r="A51" i="1" s="1"/>
  <c r="P53" i="7"/>
  <c r="S53" i="7" s="1"/>
  <c r="N45" i="7"/>
  <c r="P63" i="7"/>
  <c r="T63" i="7" s="1"/>
  <c r="M45" i="7"/>
  <c r="P44" i="7"/>
  <c r="S44" i="7" s="1"/>
  <c r="S62" i="7"/>
  <c r="T62" i="7"/>
  <c r="T52" i="7"/>
  <c r="S52" i="7"/>
  <c r="U45" i="7"/>
  <c r="Q45" i="7"/>
  <c r="R45" i="7" s="1"/>
  <c r="O45" i="7"/>
  <c r="S43" i="7"/>
  <c r="T43" i="7"/>
  <c r="G65" i="7"/>
  <c r="D65" i="7"/>
  <c r="E65" i="7"/>
  <c r="F65" i="7"/>
  <c r="D55" i="7"/>
  <c r="E55" i="7"/>
  <c r="F55" i="7"/>
  <c r="G55" i="7"/>
  <c r="D54" i="7"/>
  <c r="M54" i="7" s="1"/>
  <c r="E54" i="7"/>
  <c r="N54" i="7" s="1"/>
  <c r="F54" i="7"/>
  <c r="O54" i="7" s="1"/>
  <c r="G54" i="7"/>
  <c r="Q54" i="7" s="1"/>
  <c r="R54" i="7" s="1"/>
  <c r="D64" i="7"/>
  <c r="M64" i="7" s="1"/>
  <c r="E64" i="7"/>
  <c r="N64" i="7" s="1"/>
  <c r="F64" i="7"/>
  <c r="O64" i="7" s="1"/>
  <c r="G64" i="7"/>
  <c r="Q64" i="7" s="1"/>
  <c r="R64" i="7" s="1"/>
  <c r="I65" i="7"/>
  <c r="J65" i="7"/>
  <c r="K65" i="7"/>
  <c r="L65" i="7"/>
  <c r="I55" i="7"/>
  <c r="J55" i="7"/>
  <c r="K55" i="7"/>
  <c r="L55" i="7"/>
  <c r="W45" i="7"/>
  <c r="V45" i="7"/>
  <c r="X45" i="7"/>
  <c r="F42" i="1" l="1"/>
  <c r="G42" i="1"/>
  <c r="D51" i="1"/>
  <c r="D71" i="2"/>
  <c r="F49" i="1"/>
  <c r="G49" i="1"/>
  <c r="E50" i="1"/>
  <c r="T53" i="7"/>
  <c r="B73" i="2"/>
  <c r="A73" i="2" s="1"/>
  <c r="S63" i="7"/>
  <c r="B52" i="1"/>
  <c r="A52" i="1" s="1"/>
  <c r="P45" i="7"/>
  <c r="S45" i="7" s="1"/>
  <c r="N65" i="7"/>
  <c r="T44" i="7"/>
  <c r="O65" i="7"/>
  <c r="U65" i="7"/>
  <c r="M65" i="7"/>
  <c r="X54" i="7"/>
  <c r="P54" i="7"/>
  <c r="X65" i="7"/>
  <c r="Q65" i="7"/>
  <c r="R65" i="7" s="1"/>
  <c r="Q55" i="7"/>
  <c r="R55" i="7" s="1"/>
  <c r="O55" i="7"/>
  <c r="N55" i="7"/>
  <c r="P64" i="7"/>
  <c r="U55" i="7"/>
  <c r="M55" i="7"/>
  <c r="D66" i="7"/>
  <c r="E66" i="7"/>
  <c r="F66" i="7"/>
  <c r="G66" i="7"/>
  <c r="J66" i="7"/>
  <c r="K66" i="7"/>
  <c r="L66" i="7"/>
  <c r="I66" i="7"/>
  <c r="X64" i="7"/>
  <c r="W65" i="7"/>
  <c r="V65" i="7"/>
  <c r="W55" i="7"/>
  <c r="X55" i="7"/>
  <c r="V55" i="7"/>
  <c r="V54" i="7"/>
  <c r="W64" i="7"/>
  <c r="U54" i="7"/>
  <c r="W54" i="7"/>
  <c r="V64" i="7"/>
  <c r="U64" i="7"/>
  <c r="D52" i="1" l="1"/>
  <c r="D72" i="2"/>
  <c r="E51" i="1"/>
  <c r="F50" i="1"/>
  <c r="G50" i="1"/>
  <c r="B74" i="2"/>
  <c r="A74" i="2" s="1"/>
  <c r="T45" i="7"/>
  <c r="B53" i="1"/>
  <c r="A53" i="1" s="1"/>
  <c r="P65" i="7"/>
  <c r="S65" i="7" s="1"/>
  <c r="O66" i="7"/>
  <c r="N66" i="7"/>
  <c r="X66" i="7"/>
  <c r="P55" i="7"/>
  <c r="T55" i="7" s="1"/>
  <c r="U66" i="7"/>
  <c r="M66" i="7"/>
  <c r="T64" i="7"/>
  <c r="S64" i="7"/>
  <c r="T54" i="7"/>
  <c r="S54" i="7"/>
  <c r="Q66" i="7"/>
  <c r="R66" i="7" s="1"/>
  <c r="V66" i="7"/>
  <c r="W66" i="7"/>
  <c r="D53" i="1" l="1"/>
  <c r="D73" i="2"/>
  <c r="F51" i="1"/>
  <c r="G51" i="1"/>
  <c r="E52" i="1"/>
  <c r="B75" i="2"/>
  <c r="A75" i="2" s="1"/>
  <c r="B54" i="1"/>
  <c r="A54" i="1" s="1"/>
  <c r="S55" i="7"/>
  <c r="T65" i="7"/>
  <c r="P66" i="7"/>
  <c r="S66" i="7" s="1"/>
  <c r="D54" i="1" l="1"/>
  <c r="D74" i="2"/>
  <c r="G52" i="1"/>
  <c r="F52" i="1"/>
  <c r="E53" i="1"/>
  <c r="B76" i="2"/>
  <c r="A76" i="2" s="1"/>
  <c r="B55" i="1"/>
  <c r="A55" i="1" s="1"/>
  <c r="T66" i="7"/>
  <c r="D55" i="1" l="1"/>
  <c r="D75" i="2"/>
  <c r="E54" i="1"/>
  <c r="G53" i="1"/>
  <c r="F53" i="1"/>
  <c r="B56" i="1"/>
  <c r="A56" i="1" s="1"/>
  <c r="R79" i="7"/>
  <c r="D56" i="1" l="1"/>
  <c r="D76" i="2"/>
  <c r="D78" i="2" s="1"/>
  <c r="E55" i="1"/>
  <c r="G54" i="1"/>
  <c r="F54" i="1"/>
  <c r="B57" i="1"/>
  <c r="A57" i="1" s="1"/>
  <c r="D57" i="1" l="1"/>
  <c r="G55" i="1"/>
  <c r="F55" i="1"/>
  <c r="E56" i="1"/>
  <c r="B58" i="1"/>
  <c r="A58" i="1" s="1"/>
  <c r="T79" i="7"/>
  <c r="S79" i="7"/>
  <c r="F67" i="20"/>
  <c r="P79" i="7"/>
  <c r="C17" i="21" l="1"/>
  <c r="D58" i="1"/>
  <c r="E57" i="1"/>
  <c r="G56" i="1"/>
  <c r="F56" i="1"/>
  <c r="G67" i="20"/>
  <c r="C18" i="21" l="1"/>
  <c r="D17" i="21"/>
  <c r="F57" i="1"/>
  <c r="G57" i="1"/>
  <c r="E58" i="1"/>
  <c r="D18" i="21" l="1"/>
  <c r="F58" i="1"/>
  <c r="F60" i="1" s="1"/>
  <c r="G58" i="1"/>
  <c r="G60" i="1" s="1"/>
  <c r="D9" i="21" l="1"/>
  <c r="C9" i="21"/>
  <c r="E73" i="2"/>
  <c r="F73" i="2" s="1"/>
  <c r="E67" i="2"/>
  <c r="E61" i="2"/>
  <c r="E55" i="2"/>
  <c r="F55" i="2" s="1"/>
  <c r="E49" i="2"/>
  <c r="F49" i="2" s="1"/>
  <c r="E43" i="2"/>
  <c r="F43" i="2" s="1"/>
  <c r="E37" i="2"/>
  <c r="G37" i="2" s="1"/>
  <c r="E72" i="2"/>
  <c r="F72" i="2" s="1"/>
  <c r="E66" i="2"/>
  <c r="E60" i="2"/>
  <c r="F60" i="2" s="1"/>
  <c r="E54" i="2"/>
  <c r="G54" i="2" s="1"/>
  <c r="E48" i="2"/>
  <c r="F48" i="2" s="1"/>
  <c r="E42" i="2"/>
  <c r="F42" i="2" s="1"/>
  <c r="E38" i="2"/>
  <c r="G38" i="2" s="1"/>
  <c r="E44" i="2"/>
  <c r="F44" i="2" s="1"/>
  <c r="E71" i="2"/>
  <c r="F71" i="2" s="1"/>
  <c r="E65" i="2"/>
  <c r="E59" i="2"/>
  <c r="F59" i="2" s="1"/>
  <c r="E53" i="2"/>
  <c r="F53" i="2" s="1"/>
  <c r="E47" i="2"/>
  <c r="E41" i="2"/>
  <c r="F41" i="2" s="1"/>
  <c r="E68" i="2"/>
  <c r="F68" i="2" s="1"/>
  <c r="E50" i="2"/>
  <c r="F50" i="2" s="1"/>
  <c r="E76" i="2"/>
  <c r="F76" i="2" s="1"/>
  <c r="E70" i="2"/>
  <c r="F70" i="2" s="1"/>
  <c r="E64" i="2"/>
  <c r="E58" i="2"/>
  <c r="G58" i="2" s="1"/>
  <c r="E52" i="2"/>
  <c r="F52" i="2" s="1"/>
  <c r="E46" i="2"/>
  <c r="F46" i="2" s="1"/>
  <c r="E40" i="2"/>
  <c r="F40" i="2" s="1"/>
  <c r="E62" i="2"/>
  <c r="G62" i="2" s="1"/>
  <c r="E75" i="2"/>
  <c r="E69" i="2"/>
  <c r="F69" i="2" s="1"/>
  <c r="E63" i="2"/>
  <c r="F63" i="2" s="1"/>
  <c r="E57" i="2"/>
  <c r="G57" i="2" s="1"/>
  <c r="E51" i="2"/>
  <c r="F51" i="2" s="1"/>
  <c r="E45" i="2"/>
  <c r="G45" i="2" s="1"/>
  <c r="E39" i="2"/>
  <c r="G39" i="2" s="1"/>
  <c r="E56" i="2"/>
  <c r="G56" i="2" s="1"/>
  <c r="E74" i="2"/>
  <c r="G74" i="2" s="1"/>
  <c r="F57" i="2" l="1"/>
  <c r="F62" i="2"/>
  <c r="G51" i="2"/>
  <c r="F58" i="2"/>
  <c r="G53" i="2"/>
  <c r="G42" i="2"/>
  <c r="G70" i="2"/>
  <c r="G76" i="2"/>
  <c r="G59" i="2"/>
  <c r="G73" i="2"/>
  <c r="G50" i="2"/>
  <c r="F45" i="2"/>
  <c r="G43" i="2"/>
  <c r="G40" i="2"/>
  <c r="G49" i="2"/>
  <c r="F54" i="2"/>
  <c r="G44" i="2"/>
  <c r="G72" i="2"/>
  <c r="F61" i="2"/>
  <c r="G63" i="2"/>
  <c r="G61" i="2"/>
  <c r="G65" i="2"/>
  <c r="G60" i="2"/>
  <c r="F47" i="2"/>
  <c r="G75" i="2"/>
  <c r="G47" i="2"/>
  <c r="F56" i="2"/>
  <c r="G68" i="2"/>
  <c r="F39" i="2"/>
  <c r="G46" i="2"/>
  <c r="F65" i="2"/>
  <c r="G48" i="2"/>
  <c r="E78" i="2"/>
  <c r="G67" i="2"/>
  <c r="F38" i="2"/>
  <c r="G41" i="2"/>
  <c r="F66" i="2"/>
  <c r="F37" i="2"/>
  <c r="F67" i="2"/>
  <c r="G64" i="2"/>
  <c r="G66" i="2"/>
  <c r="F75" i="2"/>
  <c r="F64" i="2"/>
  <c r="G69" i="2"/>
  <c r="G52" i="2"/>
  <c r="F74" i="2"/>
  <c r="G71" i="2"/>
  <c r="G55" i="2"/>
  <c r="G78" i="2" l="1"/>
  <c r="F78" i="2"/>
  <c r="D10" i="21" l="1"/>
  <c r="C10" i="21"/>
  <c r="Q48" i="26" l="1"/>
  <c r="X48" i="26" s="1"/>
  <c r="Y48" i="26" s="1"/>
  <c r="T52" i="26" s="1"/>
  <c r="T66" i="26" s="1"/>
  <c r="T79" i="26" s="1"/>
  <c r="Q49" i="26"/>
  <c r="T49" i="26" s="1"/>
  <c r="U49" i="26" s="1"/>
  <c r="Q53" i="26" s="1"/>
  <c r="T57" i="26" s="1"/>
  <c r="T63" i="26" s="1"/>
  <c r="T75" i="26" s="1"/>
  <c r="T71" i="26"/>
  <c r="T70" i="26"/>
  <c r="X49" i="26" l="1"/>
  <c r="Y49" i="26" s="1"/>
  <c r="T53" i="26" s="1"/>
  <c r="T67" i="26" s="1"/>
  <c r="T80" i="26" s="1"/>
  <c r="T81" i="26" s="1"/>
  <c r="E40" i="27" s="1"/>
  <c r="T48" i="26"/>
  <c r="U48" i="26" s="1"/>
  <c r="Q52" i="26" s="1"/>
  <c r="T56" i="26" s="1"/>
  <c r="T62" i="26" s="1"/>
  <c r="T74" i="26" s="1"/>
  <c r="T76" i="26" s="1"/>
  <c r="C40" i="27" s="1"/>
  <c r="E39" i="27" l="1"/>
  <c r="F39" i="27" s="1"/>
  <c r="E30" i="27"/>
  <c r="F30" i="27" s="1"/>
  <c r="E36" i="27"/>
  <c r="F36" i="27" s="1"/>
  <c r="E38" i="27"/>
  <c r="F38" i="27" s="1"/>
  <c r="E37" i="27"/>
  <c r="F37" i="27" s="1"/>
  <c r="E19" i="27"/>
  <c r="E24" i="27"/>
  <c r="F24" i="27" s="1"/>
  <c r="E20" i="27"/>
  <c r="E18" i="27"/>
  <c r="E41" i="27"/>
  <c r="E21" i="27"/>
  <c r="F21" i="27" s="1"/>
  <c r="E27" i="27"/>
  <c r="F27" i="27" s="1"/>
  <c r="E34" i="27"/>
  <c r="F34" i="27" s="1"/>
  <c r="E35" i="27"/>
  <c r="F35" i="27" s="1"/>
  <c r="E33" i="27"/>
  <c r="F33" i="27" s="1"/>
  <c r="E25" i="27"/>
  <c r="F25" i="27" s="1"/>
  <c r="E29" i="27"/>
  <c r="F29" i="27" s="1"/>
  <c r="E16" i="27"/>
  <c r="E26" i="27"/>
  <c r="F26" i="27" s="1"/>
  <c r="F40" i="27"/>
  <c r="E31" i="27"/>
  <c r="F31" i="27" s="1"/>
  <c r="E15" i="27"/>
  <c r="E32" i="27"/>
  <c r="F32" i="27" s="1"/>
  <c r="E23" i="27"/>
  <c r="F23" i="27" s="1"/>
  <c r="E22" i="27"/>
  <c r="F22" i="27" s="1"/>
  <c r="E28" i="27"/>
  <c r="F28" i="27" s="1"/>
  <c r="E17" i="27"/>
  <c r="C43" i="27"/>
  <c r="D43" i="27" s="1"/>
  <c r="C32" i="27"/>
  <c r="D32" i="27" s="1"/>
  <c r="C38" i="27"/>
  <c r="D38" i="27" s="1"/>
  <c r="C29" i="27"/>
  <c r="D29" i="27" s="1"/>
  <c r="G29" i="27" s="1"/>
  <c r="C54" i="27"/>
  <c r="C21" i="27"/>
  <c r="D21" i="27" s="1"/>
  <c r="C28" i="27"/>
  <c r="D28" i="27" s="1"/>
  <c r="G28" i="27" s="1"/>
  <c r="C53" i="27"/>
  <c r="C36" i="27"/>
  <c r="D36" i="27" s="1"/>
  <c r="G36" i="27" s="1"/>
  <c r="C20" i="27"/>
  <c r="C46" i="27"/>
  <c r="D46" i="27" s="1"/>
  <c r="C44" i="27"/>
  <c r="D44" i="27" s="1"/>
  <c r="C26" i="27"/>
  <c r="D26" i="27" s="1"/>
  <c r="C22" i="27"/>
  <c r="D22" i="27" s="1"/>
  <c r="G22" i="27" s="1"/>
  <c r="C16" i="27"/>
  <c r="C27" i="27"/>
  <c r="D27" i="27" s="1"/>
  <c r="C55" i="27"/>
  <c r="C42" i="27"/>
  <c r="D42" i="27" s="1"/>
  <c r="C25" i="27"/>
  <c r="D25" i="27" s="1"/>
  <c r="G25" i="27" s="1"/>
  <c r="C31" i="27"/>
  <c r="D31" i="27" s="1"/>
  <c r="C19" i="27"/>
  <c r="C18" i="27"/>
  <c r="C50" i="27"/>
  <c r="D50" i="27" s="1"/>
  <c r="C47" i="27"/>
  <c r="D47" i="27" s="1"/>
  <c r="C33" i="27"/>
  <c r="D33" i="27" s="1"/>
  <c r="G33" i="27" s="1"/>
  <c r="C24" i="27"/>
  <c r="D24" i="27" s="1"/>
  <c r="C51" i="27"/>
  <c r="C35" i="27"/>
  <c r="D35" i="27" s="1"/>
  <c r="G35" i="27" s="1"/>
  <c r="C52" i="27"/>
  <c r="C45" i="27"/>
  <c r="D45" i="27" s="1"/>
  <c r="C41" i="27"/>
  <c r="D41" i="27" s="1"/>
  <c r="D40" i="27"/>
  <c r="C37" i="27"/>
  <c r="D37" i="27" s="1"/>
  <c r="G37" i="27" s="1"/>
  <c r="C39" i="27"/>
  <c r="D39" i="27" s="1"/>
  <c r="G39" i="27" s="1"/>
  <c r="C34" i="27"/>
  <c r="D34" i="27" s="1"/>
  <c r="C17" i="27"/>
  <c r="C49" i="27"/>
  <c r="D49" i="27" s="1"/>
  <c r="C48" i="27"/>
  <c r="D48" i="27" s="1"/>
  <c r="C30" i="27"/>
  <c r="D30" i="27" s="1"/>
  <c r="G30" i="27" s="1"/>
  <c r="C23" i="27"/>
  <c r="D23" i="27" s="1"/>
  <c r="C15" i="27"/>
  <c r="G40" i="27" l="1"/>
  <c r="G31" i="27"/>
  <c r="G24" i="27"/>
  <c r="G21" i="27"/>
  <c r="I21" i="27" s="1"/>
  <c r="G38" i="27"/>
  <c r="H37" i="27"/>
  <c r="I37" i="27"/>
  <c r="H40" i="27"/>
  <c r="I40" i="27"/>
  <c r="H36" i="27"/>
  <c r="I36" i="27"/>
  <c r="G23" i="27"/>
  <c r="I29" i="27"/>
  <c r="H29" i="27"/>
  <c r="I31" i="27"/>
  <c r="H31" i="27"/>
  <c r="E42" i="27"/>
  <c r="F41" i="27"/>
  <c r="G41" i="27" s="1"/>
  <c r="H38" i="27"/>
  <c r="I38" i="27"/>
  <c r="H30" i="27"/>
  <c r="I30" i="27"/>
  <c r="H22" i="27"/>
  <c r="I22" i="27"/>
  <c r="G32" i="27"/>
  <c r="G26" i="27"/>
  <c r="G27" i="27"/>
  <c r="H24" i="27"/>
  <c r="I24" i="27"/>
  <c r="I28" i="27"/>
  <c r="H28" i="27"/>
  <c r="H35" i="27"/>
  <c r="I35" i="27"/>
  <c r="H33" i="27"/>
  <c r="I33" i="27"/>
  <c r="G34" i="27"/>
  <c r="I25" i="27"/>
  <c r="H25" i="27"/>
  <c r="I39" i="27"/>
  <c r="H39" i="27"/>
  <c r="H21" i="27" l="1"/>
  <c r="H23" i="27"/>
  <c r="I23" i="27"/>
  <c r="I34" i="27"/>
  <c r="H34" i="27"/>
  <c r="I32" i="27"/>
  <c r="H32" i="27"/>
  <c r="H27" i="27"/>
  <c r="I27" i="27"/>
  <c r="H26" i="27"/>
  <c r="I26" i="27"/>
  <c r="F42" i="27"/>
  <c r="G42" i="27" s="1"/>
  <c r="E43" i="27"/>
  <c r="I41" i="27"/>
  <c r="H41" i="27"/>
  <c r="H42" i="27" l="1"/>
  <c r="I42" i="27"/>
  <c r="E44" i="27"/>
  <c r="F43" i="27"/>
  <c r="G43" i="27" s="1"/>
  <c r="E45" i="27" l="1"/>
  <c r="F44" i="27"/>
  <c r="G44" i="27" s="1"/>
  <c r="I43" i="27"/>
  <c r="H43" i="27"/>
  <c r="H44" i="27" l="1"/>
  <c r="I44" i="27"/>
  <c r="E46" i="27"/>
  <c r="F45" i="27"/>
  <c r="G45" i="27" s="1"/>
  <c r="E47" i="27" l="1"/>
  <c r="F46" i="27"/>
  <c r="G46" i="27" s="1"/>
  <c r="I45" i="27"/>
  <c r="H45" i="27"/>
  <c r="F47" i="27" l="1"/>
  <c r="G47" i="27" s="1"/>
  <c r="E48" i="27"/>
  <c r="H46" i="27"/>
  <c r="I46" i="27"/>
  <c r="I47" i="27" l="1"/>
  <c r="H47" i="27"/>
  <c r="E49" i="27"/>
  <c r="F48" i="27"/>
  <c r="G48" i="27" s="1"/>
  <c r="H48" i="27" l="1"/>
  <c r="I48" i="27"/>
  <c r="E50" i="27"/>
  <c r="F49" i="27"/>
  <c r="G49" i="27" s="1"/>
  <c r="I49" i="27" l="1"/>
  <c r="H49" i="27"/>
  <c r="F50" i="27"/>
  <c r="G50" i="27" s="1"/>
  <c r="E51" i="27"/>
  <c r="E52" i="27" s="1"/>
  <c r="E53" i="27" s="1"/>
  <c r="E54" i="27" s="1"/>
  <c r="E55" i="27" s="1"/>
  <c r="H50" i="27" l="1"/>
  <c r="H57" i="27" s="1"/>
  <c r="I50" i="27"/>
  <c r="I57" i="27" s="1"/>
  <c r="D11" i="21" l="1"/>
  <c r="D15" i="21" s="1"/>
  <c r="D23" i="21" s="1"/>
  <c r="C11" i="21"/>
  <c r="C15" i="21" s="1"/>
  <c r="C23" i="21" s="1"/>
  <c r="D34" i="16" l="1"/>
  <c r="D9" i="16"/>
  <c r="D14" i="16" l="1"/>
  <c r="C3" i="12" s="1"/>
  <c r="C6" i="12" l="1"/>
  <c r="C21" i="12"/>
  <c r="E21" i="12" s="1"/>
  <c r="C22" i="12"/>
  <c r="E22" i="12" s="1"/>
  <c r="C23" i="12"/>
  <c r="D23" i="12" s="1"/>
  <c r="E23" i="12" l="1"/>
  <c r="D22" i="12"/>
  <c r="D21" i="12"/>
  <c r="D60" i="12" s="1"/>
  <c r="C5" i="21" s="1"/>
  <c r="C60" i="12"/>
  <c r="E60" i="12"/>
  <c r="D5" i="21" s="1"/>
  <c r="D26" i="21" l="1"/>
  <c r="D6" i="21"/>
  <c r="D25" i="21" s="1"/>
  <c r="C6" i="21"/>
  <c r="C25" i="21" s="1"/>
  <c r="C26" i="21"/>
</calcChain>
</file>

<file path=xl/sharedStrings.xml><?xml version="1.0" encoding="utf-8"?>
<sst xmlns="http://schemas.openxmlformats.org/spreadsheetml/2006/main" count="1625" uniqueCount="905">
  <si>
    <t>Year</t>
  </si>
  <si>
    <t>Discounted Travel Time Savings</t>
  </si>
  <si>
    <t>Annualization Factor</t>
  </si>
  <si>
    <t>Average Auto Travel Time Savings (minutes)</t>
  </si>
  <si>
    <t>Discount Year</t>
  </si>
  <si>
    <t>Truck Operating Costs Per Hour</t>
  </si>
  <si>
    <t>Average Marginal Costs per Hour, 2008-2014</t>
  </si>
  <si>
    <t>2014$</t>
  </si>
  <si>
    <t>Vehicle Based</t>
  </si>
  <si>
    <t xml:space="preserve">Fuel-Oil Costs </t>
  </si>
  <si>
    <t>Truck/Trailer Lease or Purchase Payments</t>
  </si>
  <si>
    <t xml:space="preserve">Repair and Maintenance </t>
  </si>
  <si>
    <t xml:space="preserve">Truck Insurance Premiums </t>
  </si>
  <si>
    <t>Tires</t>
  </si>
  <si>
    <t>Licensing and Permits</t>
  </si>
  <si>
    <t>Tolls</t>
  </si>
  <si>
    <t xml:space="preserve">Driver Based </t>
  </si>
  <si>
    <t>Driver Benefits</t>
  </si>
  <si>
    <t>Total (excluding Driver Pay, Tires and License/Permits)</t>
  </si>
  <si>
    <t>Note: Excludes tires, licenses and permits, and tolls because idling will not wear down tires, licenses are sunk costs, and tolls do not apply to this analysis.</t>
  </si>
  <si>
    <t>Source: Table 9 ATRI Operational Cost of Trucking 2015</t>
  </si>
  <si>
    <t xml:space="preserve">http://atri-online.org/wp-content/uploads/2015/09/ATRI-Operational-Costs-of-Trucking-2015-FINAL-09-2015.pdf </t>
  </si>
  <si>
    <t>Driver Pay</t>
  </si>
  <si>
    <t>Average Operating Costs per Hour</t>
  </si>
  <si>
    <t>Truck Costs per Hour in 2017$</t>
  </si>
  <si>
    <t>Average Truck Travel Time Savings (minutes)</t>
  </si>
  <si>
    <t>Construction</t>
  </si>
  <si>
    <t>Preliminary Engineering</t>
  </si>
  <si>
    <t>Total Cost</t>
  </si>
  <si>
    <t xml:space="preserve">Construction Start </t>
  </si>
  <si>
    <t>Q1</t>
  </si>
  <si>
    <t>Construction Finish</t>
  </si>
  <si>
    <t>Q4</t>
  </si>
  <si>
    <t>Table 10.1 - GROSS DOMESTIC PRODUCT AND DEFLATORS USED IN THE HISTORICAL TABLES:  1940 - 2023</t>
  </si>
  <si>
    <t>(Fiscal Year 2009 = 1.000)</t>
  </si>
  <si>
    <t>Fiscal Year</t>
  </si>
  <si>
    <t>GDP (in
billions of
dollars)</t>
  </si>
  <si>
    <t>GDP
(Chained)
Price Index</t>
  </si>
  <si>
    <t>Composite Outlay Deflators</t>
  </si>
  <si>
    <t>Total</t>
  </si>
  <si>
    <t>Total
Defense</t>
  </si>
  <si>
    <t>Total
Nondefense</t>
  </si>
  <si>
    <t>Payment for Individuals</t>
  </si>
  <si>
    <t>Other
Grants</t>
  </si>
  <si>
    <t>Net Interest</t>
  </si>
  <si>
    <t>Undis-
tributed
Offsetting
Receipts</t>
  </si>
  <si>
    <t>All Other</t>
  </si>
  <si>
    <t>Addendum: Direct Capital</t>
  </si>
  <si>
    <t>Direct</t>
  </si>
  <si>
    <t>Grants</t>
  </si>
  <si>
    <t>Defense</t>
  </si>
  <si>
    <t>Nondefense</t>
  </si>
  <si>
    <t>TQ</t>
  </si>
  <si>
    <t>2019 estimate</t>
  </si>
  <si>
    <t>2020 estimate</t>
  </si>
  <si>
    <t>2021 estimate</t>
  </si>
  <si>
    <t>2022 estimate</t>
  </si>
  <si>
    <t>2023 estimate</t>
  </si>
  <si>
    <t>Note: Constant dollar research and development outlays are based on the GDP (chained) price index.</t>
  </si>
  <si>
    <t>Input</t>
  </si>
  <si>
    <t xml:space="preserve">Value </t>
  </si>
  <si>
    <t xml:space="preserve">Source </t>
  </si>
  <si>
    <t>General</t>
  </si>
  <si>
    <t xml:space="preserve">Discount Rate </t>
  </si>
  <si>
    <t>Deflator</t>
  </si>
  <si>
    <t xml:space="preserve">See "Deflator" Sheet </t>
  </si>
  <si>
    <t>Base year dollar</t>
  </si>
  <si>
    <t>Discount year</t>
  </si>
  <si>
    <t xml:space="preserve">State of Good Repair </t>
  </si>
  <si>
    <t>Source: FHWA Highway Cost Allocation Study, 2000 Addendum, Table 13</t>
  </si>
  <si>
    <t>Roadway Maintenance Cost per Mile, Urban Interstate (2017$)  - Auto</t>
  </si>
  <si>
    <t>Adjusted by GDP Deflator</t>
  </si>
  <si>
    <t>Roadway Maintenance Cost (1990$/mi)</t>
  </si>
  <si>
    <t>Calculated from: http://www.its.ucdavis.edu/research/publications/publication-detail/?pub_id=19</t>
  </si>
  <si>
    <t>Roadway Maintenance Cost (2017$/mi)</t>
  </si>
  <si>
    <t>Calculated from: http://www.its.ucdavis.edu/research/publications/publication-detail/?pub_id=19, Adjusted by GDP Deflator</t>
  </si>
  <si>
    <t>Economic Competitiveness</t>
  </si>
  <si>
    <t>Passenger Car Emission Rates per Mile, VOC, 2013-2024</t>
  </si>
  <si>
    <t>http://www.apta.com/gap/fedreg/Documents/NS-SS_Final_PolicyGuidance_August_2013.pdf</t>
  </si>
  <si>
    <t>Passenger Car Emission Rates per Mile, NOx, 2013-2024</t>
  </si>
  <si>
    <t>Passenger Car Emission Rates per Mile, PM25, 2013-2024</t>
  </si>
  <si>
    <t>Passenger Car Emission Rates per Mile, CO2, 2013-2024</t>
  </si>
  <si>
    <t>Passenger Car Emission Rates per Mile, VOC, 2025-2034</t>
  </si>
  <si>
    <t>Passenger Car Emission Rates per Mile, NOx, 2025-2034</t>
  </si>
  <si>
    <t>Passenger Car Emission Rates per Mile, PM25, 2025-2034</t>
  </si>
  <si>
    <t>Passenger Car Emission Rates per Mile, CO2, 2025-2034</t>
  </si>
  <si>
    <t>Passenger Car Emission Rates per Mile, VOC, 2035-</t>
  </si>
  <si>
    <t>Passenger Car Emission Rates per Mile, NOx, 2035-</t>
  </si>
  <si>
    <t>Passenger Car Emission Rates per Mile, PM25, 2035-</t>
  </si>
  <si>
    <t>Passenger Car Emission Rates per Mile, CO2, 2035-</t>
  </si>
  <si>
    <t>Conversion rate for Metric tons to Short Tons</t>
  </si>
  <si>
    <t>Quality of Life</t>
  </si>
  <si>
    <t>Safety</t>
  </si>
  <si>
    <t>AIS 0 (2017$) per vehicle</t>
  </si>
  <si>
    <t>USDOT Benefit-Cost Analysis Guidance for Discretionary Grant Programs 2018</t>
  </si>
  <si>
    <t>https://www.transportation.gov/sites/dot.gov/files/docs/mission/office-policy/transportation-policy/284031/benefit-cost-analysis-guidance-2018.pdf</t>
  </si>
  <si>
    <t>Average Passenger Vehicle Occupancy</t>
  </si>
  <si>
    <t>Traffic Data Assumptions</t>
  </si>
  <si>
    <t>Percentage of Trucks</t>
  </si>
  <si>
    <t>Annual Truck Travel Time Savings (hours)</t>
  </si>
  <si>
    <t>Total Value of Truck Operating Savings</t>
  </si>
  <si>
    <t>Total Value of Auto Travel Time Savings</t>
  </si>
  <si>
    <t>Average Auto Occupancy</t>
  </si>
  <si>
    <t>Previously Incurred Costs</t>
  </si>
  <si>
    <t>Future Project Costs</t>
  </si>
  <si>
    <t xml:space="preserve">Future Project Costs </t>
  </si>
  <si>
    <t>Undiscounted Cost</t>
  </si>
  <si>
    <t>Discounted at 7%</t>
  </si>
  <si>
    <t>Discounted at 3%</t>
  </si>
  <si>
    <t>Residual Value</t>
  </si>
  <si>
    <t>Project components will have a useful life longer than the analysis period</t>
  </si>
  <si>
    <t>Type of asset</t>
  </si>
  <si>
    <t>Service life (years)</t>
  </si>
  <si>
    <t>Industrial buildings</t>
  </si>
  <si>
    <t>Mobile offices/17/</t>
  </si>
  <si>
    <t>Office buildings/17/</t>
  </si>
  <si>
    <t>Commercial warehouses/17/</t>
  </si>
  <si>
    <t>Other commercial buildings/17/</t>
  </si>
  <si>
    <t>Religious buildings</t>
  </si>
  <si>
    <t>Educational buildings</t>
  </si>
  <si>
    <t>Hospital and institutional buildings</t>
  </si>
  <si>
    <t>Hotels and motels/18/</t>
  </si>
  <si>
    <t>Amusement and recreational buildings/18/</t>
  </si>
  <si>
    <t>All other nonfarm buildings/18/,/19/</t>
  </si>
  <si>
    <t>Railroad replacement track/19//20/</t>
  </si>
  <si>
    <t>Other railroad structures/19//20/</t>
  </si>
  <si>
    <t>Telecommunications/20/</t>
  </si>
  <si>
    <t>Railroad equipment*</t>
  </si>
  <si>
    <t>Highways and streets</t>
  </si>
  <si>
    <t>Conservation and development</t>
  </si>
  <si>
    <t>Sewer systems</t>
  </si>
  <si>
    <t>Water systems</t>
  </si>
  <si>
    <t>Military facilities</t>
  </si>
  <si>
    <t>Other</t>
  </si>
  <si>
    <t>Source: BEA Rate of Depreciation, Service Lives, Declining-Balance Rates, and Hulten-Wykoff Categories</t>
  </si>
  <si>
    <t>http://www.bea.gov/scb/account_articles/national/wlth2594/tableC.htm</t>
  </si>
  <si>
    <t>Bridge structures</t>
  </si>
  <si>
    <t>Source: USDOT Bridge Preservation guide, Maintaining a State of Good Repair Using Cost Effective Investment Strategies, August 2011, page 2</t>
  </si>
  <si>
    <t>https://www.google.com/url?sa=t&amp;rct=j&amp;q=&amp;esrc=s&amp;source=web&amp;cd=1&amp;cad=rja&amp;uact=8&amp;ved=0ahUKEwiv-8XR8cLLAhVV5WMKHYZ6Ap8QFggcMAA&amp;url=http%3A%2F%2Fwww.fhwa.dot.gov%2Fbridge%2Fpreservation%2Fguide%2Fguide.pdf&amp;usg=AFQjCNEf26d_7T9a9n7jxVGGtwyGvq2zQg&amp;sig2=Z8jY2-M9fT0zre_vXvSplg&amp;bvm=bv.116954456,d.cGc</t>
  </si>
  <si>
    <t>FTA Circulator 5010.1D Grant Management Requirements 2008, https://cms.fta.dot.gov/funding/grant-programs/capital-investments/fta-circular-50101d-november-2008</t>
  </si>
  <si>
    <t>Source: JCATS average of bus fleet costs</t>
  </si>
  <si>
    <t>Remaining Value</t>
  </si>
  <si>
    <t>Residual Summary</t>
  </si>
  <si>
    <t>Total ($M)</t>
  </si>
  <si>
    <t>Total Residual Benefits</t>
  </si>
  <si>
    <t>Detour saved per vehicle</t>
  </si>
  <si>
    <t>Annual Factor</t>
  </si>
  <si>
    <t>Project Year</t>
  </si>
  <si>
    <t>Annual VMT Saved</t>
  </si>
  <si>
    <t>Auto Operating Cost Savings  (Undiscounted)</t>
  </si>
  <si>
    <t>Auto Operating Cost Savings  (Discounted at 7%)</t>
  </si>
  <si>
    <t>Auto Operating Cost Savings  (Discounted at 3%)</t>
  </si>
  <si>
    <t>Pavement Cost Savings due to reduced VMT</t>
  </si>
  <si>
    <t>Pavement wear and tear is decreased with reduction in VMT</t>
  </si>
  <si>
    <t>VMT saved due to US 76 Connector</t>
  </si>
  <si>
    <t>Annual Auto VMT Saved</t>
  </si>
  <si>
    <t>Pavement Cost Savings, Auto VMT  (Undiscounted)</t>
  </si>
  <si>
    <t>Annual Truck VMT Saved</t>
  </si>
  <si>
    <t>Pavement Cost Savings, Truck VMT  (Undiscounted)</t>
  </si>
  <si>
    <t>Pavement Cost Savings (Undiscounted)</t>
  </si>
  <si>
    <t>Congestion Cost Savings due to reduced VMT</t>
  </si>
  <si>
    <t>The reduction in automobile VMT avoids congestion costs to others using highways</t>
  </si>
  <si>
    <t>Refer to "PavementCostSavings" tab for underlying assumptions and calculations on Annual VMT avoided</t>
  </si>
  <si>
    <t>Congestion Cost Savings, Auto VMT  (Undiscounted)</t>
  </si>
  <si>
    <t>Congestion Cost Savings, Truck VMT  (Undiscounted)</t>
  </si>
  <si>
    <t>Congestion Cost Savings (Undiscounted)</t>
  </si>
  <si>
    <t>Pavement Cost Savings  (Discounted at 7%)</t>
  </si>
  <si>
    <t>Pavement Cost Savings  (Discounted at 3%)</t>
  </si>
  <si>
    <t>Congestion Cost Savings  (Discounted at 7%)</t>
  </si>
  <si>
    <t>Congestion Cost Savings  (Discounted at 3%)</t>
  </si>
  <si>
    <t>Accident Cost Savings due to reduced VMT</t>
  </si>
  <si>
    <t>Discounted Crash Costs at 7%</t>
  </si>
  <si>
    <t>Discounted Crash Costs at 3%</t>
  </si>
  <si>
    <t>Emissions avoided due to reduced VMT</t>
  </si>
  <si>
    <t>The reduction in automobile VMT results in emissions avoided</t>
  </si>
  <si>
    <t>Conversion Factors</t>
  </si>
  <si>
    <t>grams per short ton</t>
  </si>
  <si>
    <t>grams per metric ton</t>
  </si>
  <si>
    <t>Damage Costs for Criteria Air Pollutant Emissions</t>
  </si>
  <si>
    <t>Emission Type</t>
  </si>
  <si>
    <t>$ / short ton
($2017)</t>
  </si>
  <si>
    <t>Auto</t>
  </si>
  <si>
    <t>CO</t>
  </si>
  <si>
    <t>PM2.5</t>
  </si>
  <si>
    <t>VOC</t>
  </si>
  <si>
    <t>CO2</t>
  </si>
  <si>
    <t>Volatile Organic Compounds (VOCs)</t>
  </si>
  <si>
    <t>Nitrogen oxides (NOx)</t>
  </si>
  <si>
    <t>Particulate matter (PM)</t>
  </si>
  <si>
    <t>Sulfur dioxide (SOx)</t>
  </si>
  <si>
    <t>Source: MOVES 2010a</t>
  </si>
  <si>
    <t>Accessed at: http://www.apta.com/gap/fedreg/Documents/NS-SS_Final_PolicyGuidance_August_2013.pdf</t>
  </si>
  <si>
    <t>There is a potential VMT reduction for general traffic as the US 76 connector would provide for a valuable alternative.</t>
  </si>
  <si>
    <t>Auto Emissions Factors (g/VMT)</t>
  </si>
  <si>
    <t>Truck</t>
  </si>
  <si>
    <t>NOx</t>
  </si>
  <si>
    <t>PM10</t>
  </si>
  <si>
    <t>Emission Costs Avoided PM</t>
  </si>
  <si>
    <t>Emission Costs Avoided VOC</t>
  </si>
  <si>
    <t>Total Emission Savings (Discounted at 7%)</t>
  </si>
  <si>
    <t>Total Emission Savings (Discounted at 3%)</t>
  </si>
  <si>
    <t>Auto VMT Avoided</t>
  </si>
  <si>
    <t>Reduction in NOx - Auto VMT (short tons)</t>
  </si>
  <si>
    <t>Reduction in VOC - Auto VMT (short tons)</t>
  </si>
  <si>
    <t>Truck VMT Avoided</t>
  </si>
  <si>
    <t>Reduction in NOx - Truck VMT (short tons)</t>
  </si>
  <si>
    <t>Reduction in VOC - Truck VMT (short tons)</t>
  </si>
  <si>
    <t>Emission Costs Avoided NOx</t>
  </si>
  <si>
    <t>Reduction in PM2.5 - Auto VMT (short tons)</t>
  </si>
  <si>
    <t>Reduction in PM10 - Truck VMT (short tons)</t>
  </si>
  <si>
    <t>7% Discount Rate</t>
  </si>
  <si>
    <t>3% Discount Rate</t>
  </si>
  <si>
    <t>Capital Cost</t>
  </si>
  <si>
    <t>Total Costs</t>
  </si>
  <si>
    <t>Safety Benefits</t>
  </si>
  <si>
    <t>Reduced Roadway Fatalities and Crashes</t>
  </si>
  <si>
    <t>Sub-Total</t>
  </si>
  <si>
    <t>Economic Competitiveness Benefits</t>
  </si>
  <si>
    <t>Residual Savings</t>
  </si>
  <si>
    <t>Truck Operating Savings</t>
  </si>
  <si>
    <t>Environmental Protection</t>
  </si>
  <si>
    <t>Net Operating &amp; Maintenance Costs</t>
  </si>
  <si>
    <t>Total Benefits</t>
  </si>
  <si>
    <t>Outcome</t>
  </si>
  <si>
    <t>Benefit-Cost Ratio</t>
  </si>
  <si>
    <t>Auto Travel Time Savings</t>
  </si>
  <si>
    <t>Auto Operating Cost Savings</t>
  </si>
  <si>
    <t>Roadway Maintenance Cost, Rural Interstate (2000$/mi) - Auto</t>
  </si>
  <si>
    <t>Roadway Maintenance Cost, Rural Interstate (2000$/mi) - 60 kip 4 axle US truck/Rural Interstate</t>
  </si>
  <si>
    <t>Roadway Maintenance Cost, Rural Interstate (2017$/mi) - 60 kip 4 axle US truck/Rural Interstate</t>
  </si>
  <si>
    <t>Roadway Maintenance Cost per Mile, Rural Interstate (2017$)  - Auto</t>
  </si>
  <si>
    <t>Congestion Cost per auto VMT (2000$), Rural Interstate</t>
  </si>
  <si>
    <t>Congestion Cost per auto VMT (2017$), Rural Interstate</t>
  </si>
  <si>
    <t>Congestion Cost per truck VMT (2000$), Rural Interstate</t>
  </si>
  <si>
    <t>Congestion Cost per truck VMT (2017$), Rural Interstate</t>
  </si>
  <si>
    <t>Cars</t>
  </si>
  <si>
    <t xml:space="preserve">Total </t>
  </si>
  <si>
    <t>Trucks</t>
  </si>
  <si>
    <t xml:space="preserve">December 2018 TIGER BCA Guidance </t>
  </si>
  <si>
    <t>Vehicle Maintenance Cost per Mile (Gas, Maintenance, Tires, Depreciation) (2017$/Mile) -- Light Duty Vehicles</t>
  </si>
  <si>
    <t>varies</t>
  </si>
  <si>
    <t>Corridor Average</t>
  </si>
  <si>
    <t>Reduction in CO2 - Auto VMT (metric tons)</t>
  </si>
  <si>
    <t>Long-haul Truck Travel Emission Factors (g/VMT)</t>
  </si>
  <si>
    <t>SO2</t>
  </si>
  <si>
    <t>Source: Hours of Service (HOS) Environmental Assessment, Appendix A: Analysis of Air Quality Impacts, 2011</t>
  </si>
  <si>
    <t>Accessed at: http://www.fmcsa.dot.gov/sites/fmcsa.dot.gov/files/docs/2011_HOS_Final_Rule_EA_Appendices.pdf</t>
  </si>
  <si>
    <t>Exhibit A-4. Long-haul and Drayage Truck Travel Emission Factors</t>
  </si>
  <si>
    <t>Reduction in CO2 - Truck VMT (metric tons)</t>
  </si>
  <si>
    <t>Emission Costs Avoided CO2</t>
  </si>
  <si>
    <t>Social Cost of Carbon</t>
  </si>
  <si>
    <t>2018 BCA Guidance for Discretionary Grant Programs</t>
  </si>
  <si>
    <t>Truck Emissions Rate g per mile VOC (long-haul, 2020)</t>
  </si>
  <si>
    <t>assumed annual factor for the analysis</t>
  </si>
  <si>
    <t>See rows 61 through 68</t>
  </si>
  <si>
    <t>FMCSA, Hours of Service (HOS) Environmental Assessment, Appendix A: Analysis of Air Quality Impacts, 2011</t>
  </si>
  <si>
    <t>Truck Emissions Rate g per mile PM2.5 (long-haul, 2020)</t>
  </si>
  <si>
    <t>Truck Emissions Rate g per mile PM10 (long-haul, 2020)</t>
  </si>
  <si>
    <t>Truck Emissions Rate g per mile CO2 (long-haul, 2020)</t>
  </si>
  <si>
    <t>$ /metric ton
($2017)</t>
  </si>
  <si>
    <t>CO2 Emission Savings (Discounted at 7%)</t>
  </si>
  <si>
    <t>Total Emission Savings without CO2 (Undiscounted)</t>
  </si>
  <si>
    <t>previously incurred costs</t>
  </si>
  <si>
    <t>Annual Person Travel Time Savings (hours)</t>
  </si>
  <si>
    <t>Travel Time Savings (Discounted at 7%)</t>
  </si>
  <si>
    <t>Travel Time Savings (Discounted at 3%)</t>
  </si>
  <si>
    <t>O – No Injury</t>
  </si>
  <si>
    <t>C – Possible Injury</t>
  </si>
  <si>
    <t>B – Non-incapacitating</t>
  </si>
  <si>
    <t>A – Incapacitating</t>
  </si>
  <si>
    <t>K – Killed</t>
  </si>
  <si>
    <t>U – Injured (Severity Unknown)</t>
  </si>
  <si>
    <t># Accidents Reported (Unknown if Injured)</t>
  </si>
  <si>
    <t>KABCO Level</t>
  </si>
  <si>
    <r>
      <t>Monetized</t>
    </r>
    <r>
      <rPr>
        <sz val="11"/>
        <color indexed="8"/>
        <rFont val="Calibri"/>
        <family val="1"/>
        <charset val="204"/>
      </rPr>
      <t xml:space="preserve">
</t>
    </r>
    <r>
      <rPr>
        <b/>
        <sz val="11"/>
        <color indexed="62"/>
        <rFont val="Calibri"/>
        <family val="1"/>
        <charset val="204"/>
      </rPr>
      <t>Value</t>
    </r>
  </si>
  <si>
    <t>Included as a sensitivity test</t>
  </si>
  <si>
    <t>See tab "Traffic_related_data" for underlying assumptions</t>
  </si>
  <si>
    <t>Truck Emissions Rate g per mile NOx (long-haul, 2020)</t>
  </si>
  <si>
    <t>Truck Operating Cost Savings</t>
  </si>
  <si>
    <t>Reduction in NOx - All VMT (short tons)</t>
  </si>
  <si>
    <t>Reduction in PM2.5 - All VMT (short tons)</t>
  </si>
  <si>
    <t>Reduction in VOC - All VMT (short tons)</t>
  </si>
  <si>
    <t>Reduction in CO2 - All VMT (metric tons)</t>
  </si>
  <si>
    <t xml:space="preserve"> </t>
  </si>
  <si>
    <t xml:space="preserve">January 2020 BCA Guidance for Discretionary Grant Programs </t>
  </si>
  <si>
    <t>AIS 1 (2018$)</t>
  </si>
  <si>
    <t>AIS 2 (2018$)</t>
  </si>
  <si>
    <t>AIS 3 (2018$)</t>
  </si>
  <si>
    <t>AIS 4 (2018$)</t>
  </si>
  <si>
    <t>AIS 5 (2018$)</t>
  </si>
  <si>
    <t>AIS 6 (2018$)</t>
  </si>
  <si>
    <t>January 2020 BCA Guidance for Discretionary Grant Programs (Table A-2)</t>
  </si>
  <si>
    <t>Value of Time (2018$), private vehicle travel time per person hour, all purposes</t>
  </si>
  <si>
    <t>Value of Time (2018$), truck driver travel time per person hour</t>
  </si>
  <si>
    <t xml:space="preserve">VOC Value of Emissions (2018$) per short ton </t>
  </si>
  <si>
    <t xml:space="preserve">NOx Value of Emissions (2018$) per short ton </t>
  </si>
  <si>
    <t xml:space="preserve">PM Value of Emissions (2018$) per short ton </t>
  </si>
  <si>
    <t xml:space="preserve">SOx Value of Emissions (2018$) per short ton </t>
  </si>
  <si>
    <t xml:space="preserve">CO2 Value of Emissions (2018$) per short ton </t>
  </si>
  <si>
    <t>2018$</t>
  </si>
  <si>
    <t xml:space="preserve">Preparing a Beneift-Cost Analysis for INFRA Grants Presentation - 1/23/20 https://www.transportation.gov/policy-initiatives/buildamerica/infra-webinar-series </t>
  </si>
  <si>
    <t>Forecast Location</t>
  </si>
  <si>
    <t>US 129 (Tapoco Rd) - North of N Main Street (SR 1106)</t>
  </si>
  <si>
    <t>US 129 (Tallulah Rd) - South of Lower Mill Creek Dr (SR 1105)/Mill Creek Circle (SR 1105)</t>
  </si>
  <si>
    <t>N Main Street (SR 1106) - West of US 129 (Tapoco Rd/Rodney Orr Bypass)</t>
  </si>
  <si>
    <t>E Main St (SR 1106) - West of US 129 (Rodney Orr Bypass)</t>
  </si>
  <si>
    <t>Commercial Dwy - East of US 129 (Rodney Orr Bypass)</t>
  </si>
  <si>
    <t>Five Point Rd (SR 1275) - East of US 129 (Rodney Orr Bypass/Tallulah Rd)</t>
  </si>
  <si>
    <t>Woodland Heights (SR 1155) - West of US 129 (Tallulah Rd)</t>
  </si>
  <si>
    <t>Airport Road (SR 1260) - East of US 129 (Tallulah Rd)</t>
  </si>
  <si>
    <t>Mill Creek Circle (SR 1105) - West of US 129 (Tallulah Rd)</t>
  </si>
  <si>
    <t>Lower Mill Creek Dr (SR 1105) - East of US 129 (Tallulah Rd)</t>
  </si>
  <si>
    <t>Commercial Dwy - West of US 129 (Rodney Orr Bypass)</t>
  </si>
  <si>
    <t>Robbinsville HS - North of NC 143 (Sweetwater Rd)</t>
  </si>
  <si>
    <t>Five Point Rd (SR 1275) - South of NC 143 (Sweetwater Rd)</t>
  </si>
  <si>
    <t>Mountain Creek Rd (SR 1214) - North of NC 143 (Sweetwater Rd)</t>
  </si>
  <si>
    <t>Old Sweetwater Rd (West)(SR 1277) - South of NC 143 (Sweetwater Rd)</t>
  </si>
  <si>
    <t>Slaybacon Rd (SR 1218) - North of NC 143 (Sweetwater Rd)</t>
  </si>
  <si>
    <t>Old Sweetwater Rd (East) (SR 1277) - South of NC 143 (Sweetwater Rd)</t>
  </si>
  <si>
    <t>Beech Creek Rd (SR 1223) - South of NC 143 (Sweetwater Rd)</t>
  </si>
  <si>
    <t>NC 28 (Fontana Rd) - North of NC 143 (Sweetwater Rd)</t>
  </si>
  <si>
    <t>NC 28 - South of Tobacco Branch Rd (SR 1231)</t>
  </si>
  <si>
    <t>Stecoach Rd (SR 1230) - West of NC 28</t>
  </si>
  <si>
    <t>Bill Crisp Rd (1238) - East of NC 28</t>
  </si>
  <si>
    <t>Lower Stecoach Rd (SR 1236) - East of NC 28</t>
  </si>
  <si>
    <t>Tobacco Branch Rd (SR 1231) - West of NC 28</t>
  </si>
  <si>
    <t>Local Access between N. Main Street and NC 143</t>
  </si>
  <si>
    <t xml:space="preserve">Local Access between Five Points Rd and Woodland Heights </t>
  </si>
  <si>
    <t>Local Access between Old Sweetwater Rd and Slaybacon Rd</t>
  </si>
  <si>
    <t>2019 - 2045 CAGR</t>
  </si>
  <si>
    <t>Total AADT</t>
  </si>
  <si>
    <t>Total vehicles (divide by 2)</t>
  </si>
  <si>
    <t>Percent Trucks</t>
  </si>
  <si>
    <t>2019 Truck Volumes</t>
  </si>
  <si>
    <t>2019 Traffic Forecast</t>
  </si>
  <si>
    <t>2045 Traffic Forecast</t>
  </si>
  <si>
    <t>2045 Truck Volumes</t>
  </si>
  <si>
    <t>Traffic Forecast (Patriot Transportation, 2019)</t>
  </si>
  <si>
    <t>Annual Persons using NC 28/NC 143/US 129</t>
  </si>
  <si>
    <t>Source: Traffic Forecast Report (Patriot Transportation Engineering, 2019)</t>
  </si>
  <si>
    <t>VHT</t>
  </si>
  <si>
    <t>VMT</t>
  </si>
  <si>
    <t>Delay</t>
  </si>
  <si>
    <t>No-Build</t>
  </si>
  <si>
    <t>#Trips</t>
  </si>
  <si>
    <t>TTS/veh/day</t>
  </si>
  <si>
    <t>Occupancy</t>
  </si>
  <si>
    <t>(hr)</t>
  </si>
  <si>
    <t>(min)</t>
  </si>
  <si>
    <t>Car</t>
  </si>
  <si>
    <t>(per/veh)</t>
  </si>
  <si>
    <t>TTS/person</t>
  </si>
  <si>
    <t>Personal value of time, 2018$</t>
  </si>
  <si>
    <t>Proposed project would provide a shorter route for vehicles traversing the study area. The reduced VMT would result in auto operating cost savings .</t>
  </si>
  <si>
    <t>Costs (2018 $M)</t>
  </si>
  <si>
    <t>Benefits (2018 $M)</t>
  </si>
  <si>
    <t>Annual Truck Traffic using NC 28/NC 143/US 129</t>
  </si>
  <si>
    <t>(mi)</t>
  </si>
  <si>
    <t>VMT Saved</t>
  </si>
  <si>
    <t>Auto users would experience travel time savings as a result of the NC 28/NC 143/US 129 Improvements</t>
  </si>
  <si>
    <t>see "Traffic Related Data" Tab for year-by-year TTS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</si>
  <si>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</si>
  <si>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</si>
  <si>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</si>
  <si>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</si>
  <si>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</si>
  <si>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</si>
  <si>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</si>
  <si>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</si>
  <si>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</si>
  <si>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</si>
  <si>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</si>
  <si>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</si>
  <si>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</si>
  <si>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</si>
  <si>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</si>
  <si>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</si>
  <si>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</si>
  <si>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</si>
  <si>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</si>
  <si>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</si>
  <si>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</si>
  <si>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</si>
  <si>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</si>
  <si>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</si>
  <si>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</si>
  <si>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</si>
  <si>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</si>
  <si>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</si>
  <si>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</si>
  <si>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</si>
  <si>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</si>
  <si>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</si>
  <si>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</si>
  <si>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</si>
  <si>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</si>
  <si>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</si>
  <si>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</si>
  <si>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</si>
  <si>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</si>
  <si>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</si>
  <si>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</si>
  <si>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</si>
  <si>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</si>
  <si>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</si>
  <si>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</si>
  <si>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</si>
  <si>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</si>
  <si>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</si>
  <si>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</si>
  <si>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</si>
  <si>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</si>
  <si>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</si>
  <si>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</si>
  <si>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</si>
  <si>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</si>
  <si>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</si>
  <si>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</si>
  <si>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</si>
  <si>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</si>
  <si>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</si>
  <si>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</si>
  <si>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</si>
  <si>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</si>
  <si>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</si>
  <si>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</si>
  <si>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</si>
  <si>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</si>
  <si>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</si>
  <si>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</si>
  <si>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</si>
  <si>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</si>
  <si>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</si>
  <si>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</si>
  <si>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</si>
  <si>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</si>
  <si>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</si>
  <si>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</si>
  <si>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</si>
  <si>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</si>
  <si>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2024 estimate</t>
  </si>
  <si>
    <t>https://www.whitehouse.gov/wp-content/uploads/2019/03/hist10z1-fy2020.xlsx</t>
  </si>
  <si>
    <t>Travel Time Savings per trip due to PROJECT, minutes</t>
  </si>
  <si>
    <t>Vehicle miles reduced per trip due to PROJECT, miles</t>
  </si>
  <si>
    <t>2018 value in 2018$</t>
  </si>
  <si>
    <t xml:space="preserve">There is a potential VMT reduction for general traffic as the PROJECT would provide for a valuable alternative. </t>
  </si>
  <si>
    <t>https://www.fhwa.dot.gov/bridge/tunnel/pubs/nhi09010/tunnel_manual.pdf</t>
  </si>
  <si>
    <t>Technical Manual for Design and Construction of Road Tunnels — Civil Elements (FHWA, 2009)</t>
  </si>
  <si>
    <t>Tunnel Structures</t>
  </si>
  <si>
    <t>Source: Technical Manual for Design and Construction of Road Tunnels — Civil Elements (FHWA, 2009)</t>
  </si>
  <si>
    <t>Analysis Period</t>
  </si>
  <si>
    <t>Net Present Value (2018 $M)</t>
  </si>
  <si>
    <t>Operations &amp; Maintenance Costs (per year)</t>
  </si>
  <si>
    <t>Existing Corridor (No-Build)</t>
  </si>
  <si>
    <t>Post Construction (Build)</t>
  </si>
  <si>
    <t>Annual Difference in O&amp;M Cost</t>
  </si>
  <si>
    <t>Capital Costs</t>
  </si>
  <si>
    <t>Right-of-way</t>
  </si>
  <si>
    <t>Utilities</t>
  </si>
  <si>
    <t>Asset Renewal Capital Costs</t>
  </si>
  <si>
    <t>Frequency of Asset Renewal (years)</t>
  </si>
  <si>
    <t>Resurfacing, etc. (Build Scenario)</t>
  </si>
  <si>
    <t>NC 28</t>
  </si>
  <si>
    <t>Resurfacing, etc. (No-Build Scenario)</t>
  </si>
  <si>
    <t>NC 143</t>
  </si>
  <si>
    <t>Source: Wanda Austin (NCDOT) on 1/31/20</t>
  </si>
  <si>
    <t>Asset renewal costs; every 10 years</t>
  </si>
  <si>
    <t xml:space="preserve">Asset Renewal Cost </t>
  </si>
  <si>
    <t>Asset Renewal (No-Build Scenario)</t>
  </si>
  <si>
    <t>O&amp;M Cost</t>
  </si>
  <si>
    <t>Highways and Streets</t>
  </si>
  <si>
    <t>Bridges &amp; Structures</t>
  </si>
  <si>
    <t>2018 $</t>
  </si>
  <si>
    <t>Right-of-Way (does not depreciate)</t>
  </si>
  <si>
    <t>N/A</t>
  </si>
  <si>
    <t>US 129</t>
  </si>
  <si>
    <t>Average Annual Crashes</t>
  </si>
  <si>
    <t>Average Annual Crash Reduction</t>
  </si>
  <si>
    <t>Average Annual Crash Post-Project</t>
  </si>
  <si>
    <t>Annual Safety Benefits, 2018$</t>
  </si>
  <si>
    <t>Annual Safety Cost 2018$</t>
  </si>
  <si>
    <t>Traffic Growth Factor</t>
  </si>
  <si>
    <t xml:space="preserve">Total Cost Savings from Accidents Avoided </t>
  </si>
  <si>
    <t>Auto Operating Cost per VMT (2018$)</t>
  </si>
  <si>
    <t>Annual crash Reduction</t>
  </si>
  <si>
    <t>Build (Alt. 1)</t>
  </si>
  <si>
    <t>Alternative 1</t>
  </si>
  <si>
    <t>ALTERNATIVE 1</t>
  </si>
  <si>
    <t>1,4,7,UE,R-1E</t>
  </si>
  <si>
    <t>Truck users would experience travel time savings as a result of the project, translating to truck operating cost savings.</t>
  </si>
  <si>
    <t>O&amp;M $/sf</t>
  </si>
  <si>
    <t>Reduction in Maintenance</t>
  </si>
  <si>
    <t>Section</t>
  </si>
  <si>
    <t>Roadway</t>
  </si>
  <si>
    <t>Length (mi)</t>
  </si>
  <si>
    <t>Width</t>
  </si>
  <si>
    <t>Area (sq. ft.)</t>
  </si>
  <si>
    <t>TOTAL</t>
  </si>
  <si>
    <t>Resurfacing Cost</t>
  </si>
  <si>
    <t>Area (sq. ft)</t>
  </si>
  <si>
    <t>Resurfacing $/sf</t>
  </si>
  <si>
    <t>Item</t>
  </si>
  <si>
    <t>Operations &amp; Maintenance Costs</t>
  </si>
  <si>
    <t>Asset Renewal Costs</t>
  </si>
  <si>
    <t>Existing Conditions</t>
  </si>
  <si>
    <t xml:space="preserve">Begin Construction year </t>
  </si>
  <si>
    <t xml:space="preserve">Complete Construction year </t>
  </si>
  <si>
    <t>Willingness to Pay for Fiber</t>
  </si>
  <si>
    <t>WTP</t>
  </si>
  <si>
    <t>assumed per household to increase up to at least 4Mbps</t>
  </si>
  <si>
    <t>Assumed willing to pay once per year</t>
  </si>
  <si>
    <t>County</t>
  </si>
  <si>
    <t>Households 2010</t>
  </si>
  <si>
    <t>Pop Growth 2020-2030</t>
  </si>
  <si>
    <t>Wake</t>
  </si>
  <si>
    <t>Martin</t>
  </si>
  <si>
    <t>Franklin</t>
  </si>
  <si>
    <t>Washington</t>
  </si>
  <si>
    <t>Nash</t>
  </si>
  <si>
    <t>Tyrrell</t>
  </si>
  <si>
    <t>Edgecombe</t>
  </si>
  <si>
    <t>Dare</t>
  </si>
  <si>
    <t>Bertie</t>
  </si>
  <si>
    <t>Source:</t>
  </si>
  <si>
    <t>Chowan</t>
  </si>
  <si>
    <t>QT-P11</t>
  </si>
  <si>
    <t>NC Management and Budget</t>
  </si>
  <si>
    <t>Perquimans</t>
  </si>
  <si>
    <t>Households and Families: 2010</t>
  </si>
  <si>
    <t>Camden</t>
  </si>
  <si>
    <t>2010 Census Summary File 1</t>
  </si>
  <si>
    <t>Pasquotank</t>
  </si>
  <si>
    <t>Households</t>
  </si>
  <si>
    <t>Discounted Fiber Savings 7%</t>
  </si>
  <si>
    <t>Discounted Fiber Savings 3%</t>
  </si>
  <si>
    <t>https://www.colorado.edu/economics/sites/default/files/attached-files/wp17_03.pdf</t>
  </si>
  <si>
    <t>Graham</t>
  </si>
  <si>
    <t>Projected Population Change in North Carolina Counties:  2020-2030</t>
  </si>
  <si>
    <t/>
  </si>
  <si>
    <t>Total Population</t>
  </si>
  <si>
    <t>Population Change</t>
  </si>
  <si>
    <t>Components of Change</t>
  </si>
  <si>
    <t>July 2020 Projection</t>
  </si>
  <si>
    <t>July 2030 Projection</t>
  </si>
  <si>
    <t>Numeric</t>
  </si>
  <si>
    <t>Percent</t>
  </si>
  <si>
    <t>Births</t>
  </si>
  <si>
    <t>Deaths</t>
  </si>
  <si>
    <t>Natural Increase</t>
  </si>
  <si>
    <t>Net Migration</t>
  </si>
  <si>
    <t>Alamance</t>
  </si>
  <si>
    <t>Alexander</t>
  </si>
  <si>
    <t>Alleghany</t>
  </si>
  <si>
    <t>Anson</t>
  </si>
  <si>
    <t>Ashe</t>
  </si>
  <si>
    <t>Avery</t>
  </si>
  <si>
    <t>Beaufort</t>
  </si>
  <si>
    <t>Bladen</t>
  </si>
  <si>
    <t>Brunswick</t>
  </si>
  <si>
    <t>Buncombe</t>
  </si>
  <si>
    <t>Burke</t>
  </si>
  <si>
    <t>Cabarrus</t>
  </si>
  <si>
    <t>Caldwell</t>
  </si>
  <si>
    <t>Carteret</t>
  </si>
  <si>
    <t>Caswell</t>
  </si>
  <si>
    <t>Catawba</t>
  </si>
  <si>
    <t>Chatham</t>
  </si>
  <si>
    <t>Cherokee</t>
  </si>
  <si>
    <t>Clay</t>
  </si>
  <si>
    <t>Cleveland</t>
  </si>
  <si>
    <t>Columbus</t>
  </si>
  <si>
    <t>Craven</t>
  </si>
  <si>
    <t>Cumberland</t>
  </si>
  <si>
    <t>Currituck</t>
  </si>
  <si>
    <t>Davidson</t>
  </si>
  <si>
    <t>Davie</t>
  </si>
  <si>
    <t>Duplin</t>
  </si>
  <si>
    <t>Durham</t>
  </si>
  <si>
    <t>Forsyth</t>
  </si>
  <si>
    <t>Gaston</t>
  </si>
  <si>
    <t>Gates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</si>
  <si>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</si>
  <si>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</si>
  <si>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</si>
  <si>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</si>
  <si>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</si>
  <si>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</si>
  <si>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</si>
  <si>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</si>
  <si>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</si>
  <si>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</si>
  <si>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</si>
  <si>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</si>
  <si>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</si>
  <si>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</si>
  <si>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</si>
  <si>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</si>
  <si>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</si>
  <si>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</si>
  <si>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</si>
  <si>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McDowell</t>
  </si>
  <si>
    <t>Mecklenburg</t>
  </si>
  <si>
    <t>Mitchell</t>
  </si>
  <si>
    <t>Montgomery</t>
  </si>
  <si>
    <t>Moore</t>
  </si>
  <si>
    <t>New Hanover</t>
  </si>
  <si>
    <t>Northampton</t>
  </si>
  <si>
    <t>Onslow</t>
  </si>
  <si>
    <t>Orange</t>
  </si>
  <si>
    <t>Pamlico</t>
  </si>
  <si>
    <t>Pender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</si>
  <si>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</si>
  <si>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</si>
  <si>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</si>
  <si>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</si>
  <si>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</si>
  <si>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</si>
  <si>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</si>
  <si>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</si>
  <si>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</si>
  <si>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</si>
  <si>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</si>
  <si>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</si>
  <si>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</si>
  <si>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</si>
  <si>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</si>
  <si>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</si>
  <si>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Union</t>
  </si>
  <si>
    <t>Vance</t>
  </si>
  <si>
    <t>Warren</t>
  </si>
  <si>
    <t>Watauga</t>
  </si>
  <si>
    <t>Wayne</t>
  </si>
  <si>
    <t>Wilkes</t>
  </si>
  <si>
    <t>Wilson</t>
  </si>
  <si>
    <t>Yadkin</t>
  </si>
  <si>
    <t>Yancey</t>
  </si>
  <si>
    <t>State</t>
  </si>
  <si>
    <t>Source: North Carolina OSBM, Standard Population Estimates, Vintage 2018 and Population Projections, Vintage 2019</t>
  </si>
  <si>
    <t>Projected Population Change in North Carolina Counties: 2030-2039</t>
  </si>
  <si>
    <t>July 2039 Projection</t>
  </si>
  <si>
    <t>Pop Growth 2030-2039</t>
  </si>
  <si>
    <t>https://files.nc.gov/ncosbm/demog/countygrowth_2030.html</t>
  </si>
  <si>
    <t>hours</t>
  </si>
  <si>
    <t>Swain County AADT</t>
  </si>
  <si>
    <t>Macon County AADT</t>
  </si>
  <si>
    <t>Total Travel Time Savings per Major Accident for Autos (per Person)</t>
  </si>
  <si>
    <t>Total Travel Time Savings per Major Accident (per Vehicle)</t>
  </si>
  <si>
    <t>Autos</t>
  </si>
  <si>
    <t>Average Vehicles Affected per Major Accident</t>
  </si>
  <si>
    <t>veh/min</t>
  </si>
  <si>
    <t>veh/day</t>
  </si>
  <si>
    <t>% Truck</t>
  </si>
  <si>
    <t>Auto AADT</t>
  </si>
  <si>
    <t>% Auto</t>
  </si>
  <si>
    <t>AADT on US 74</t>
  </si>
  <si>
    <t>min/vehicle</t>
  </si>
  <si>
    <t>Swain County Average Delay per major crash</t>
  </si>
  <si>
    <t>Macon County Average Delay per major crash</t>
  </si>
  <si>
    <t>Savings in Travel Time (Average Delay - Additional Travel Time)</t>
  </si>
  <si>
    <t>min</t>
  </si>
  <si>
    <t>Additional Delay per 1 minute of Closure</t>
  </si>
  <si>
    <t>FHWA Traffic Incident Management estimates that every minute of lane blockage creates 4 extra minutes of delay</t>
  </si>
  <si>
    <t>Swain County Crash Average Clearance Time:</t>
  </si>
  <si>
    <t>Macon County Crash Average Clearance Time:</t>
  </si>
  <si>
    <t xml:space="preserve">Additional Travel Time via NC 28/NC 143/US 129: </t>
  </si>
  <si>
    <t xml:space="preserve">Average Travel Time via NC 28/NC 143/US 129: </t>
  </si>
  <si>
    <t xml:space="preserve">Average Travel Time via US 74: </t>
  </si>
  <si>
    <t>Information on this page represents the average time, in minutes, it takes to clear a major crash (i.e. one that causes significant or unusual delays) from a North Carolina highway.</t>
  </si>
  <si>
    <t>https://www.ncdot.gov/about-us/our-mission/Performance/Pages/service-reliability.aspx</t>
  </si>
  <si>
    <t>https://ops.fhwa.dot.gov/eto_tim_pse/timtoolbox/products/tim_brochure.pdf</t>
  </si>
  <si>
    <t>Macon County</t>
  </si>
  <si>
    <t>Total Travel Time Savings per Major Accident for Trucks</t>
  </si>
  <si>
    <t>Major Accidents on US 74 per year</t>
  </si>
  <si>
    <t>Major Crashes</t>
  </si>
  <si>
    <t xml:space="preserve">Total Travel Time Savings for Autos </t>
  </si>
  <si>
    <t xml:space="preserve">Swain County </t>
  </si>
  <si>
    <t>Total Travel Time Savings for Trucks</t>
  </si>
  <si>
    <t>Total Value of Truck Travel Time Savings</t>
  </si>
  <si>
    <t>Total Value of  Travel Time Savings</t>
  </si>
  <si>
    <t xml:space="preserve">CVRG_VOLUME </t>
  </si>
  <si>
    <t>2008-2018</t>
  </si>
  <si>
    <t>ID</t>
  </si>
  <si>
    <t>CAGR</t>
  </si>
  <si>
    <t>Average</t>
  </si>
  <si>
    <t>AADT</t>
  </si>
  <si>
    <t>Trucks AADT</t>
  </si>
  <si>
    <t>Total Crashes (5-yr)</t>
  </si>
  <si>
    <t>Avg Annual Crashes</t>
  </si>
  <si>
    <t>Major Crashes (K,A,B,C)</t>
  </si>
  <si>
    <t>from 3/1/2015 to 2/29/2020</t>
  </si>
  <si>
    <t xml:space="preserve"> Travel Time Savings due to Re-routing Traffic after Major Accidents</t>
  </si>
  <si>
    <t>Auto/Trucks users would experience travel time savings as a result of the additional of Dynamic/Variable Message Signs alerting them to detour route to avoid accident in Nantahala Gorge</t>
  </si>
  <si>
    <t>TIP No.</t>
  </si>
  <si>
    <t>A-0009 Alternative 1</t>
  </si>
  <si>
    <t>Prel.</t>
  </si>
  <si>
    <t>County:</t>
  </si>
  <si>
    <t>Route</t>
  </si>
  <si>
    <t>US 129, NC 143, &amp; NC 28</t>
  </si>
  <si>
    <t>From</t>
  </si>
  <si>
    <t>CONSTR. COST</t>
  </si>
  <si>
    <t>Typical Section</t>
  </si>
  <si>
    <t>Prepared By:</t>
  </si>
  <si>
    <t>TGS Engineers</t>
  </si>
  <si>
    <t>Date</t>
  </si>
  <si>
    <t>Requested By:</t>
  </si>
  <si>
    <t>Stacy Oberhausen</t>
  </si>
  <si>
    <t>Priced By:</t>
  </si>
  <si>
    <t>Forrest Dungan, PE</t>
  </si>
  <si>
    <t>Line Item</t>
  </si>
  <si>
    <t>Des</t>
  </si>
  <si>
    <t>Sec No.</t>
  </si>
  <si>
    <t>Description</t>
  </si>
  <si>
    <t>Quantity</t>
  </si>
  <si>
    <t>Unit</t>
  </si>
  <si>
    <t>Price</t>
  </si>
  <si>
    <t>Amount</t>
  </si>
  <si>
    <t>Clearing and Grubbing</t>
  </si>
  <si>
    <t>Acre</t>
  </si>
  <si>
    <t>Unclassified Excavation</t>
  </si>
  <si>
    <t>CY</t>
  </si>
  <si>
    <t>Borrow Excavation</t>
  </si>
  <si>
    <t>Fine Grading</t>
  </si>
  <si>
    <t>SY</t>
  </si>
  <si>
    <t>Conc. Monolithic Islands</t>
  </si>
  <si>
    <t xml:space="preserve">2'-6" Curb &amp; Gutter </t>
  </si>
  <si>
    <t>LF</t>
  </si>
  <si>
    <t>Conc. Expressway Gutter</t>
  </si>
  <si>
    <t>Drainage</t>
  </si>
  <si>
    <t>-L- Line (4-Ln w/8' Shoulders (4' FDPS) Section)</t>
  </si>
  <si>
    <t>Miles</t>
  </si>
  <si>
    <t>-L- Line (4-Ln w/8' Shoulder (4' FPDS) and Gutter)</t>
  </si>
  <si>
    <t>-L- Line (3-Ln w/8' Shoulders (4' FDPS) Section)</t>
  </si>
  <si>
    <t>-L- Line (3-Ln w/8' Shoulder (4' FPDS) and Gutter)</t>
  </si>
  <si>
    <t>-L- Line (2-Ln w/8'Shoulders (4' FDPS) Section)</t>
  </si>
  <si>
    <t>Paving</t>
  </si>
  <si>
    <t>New Full Depth, Incl FDPS</t>
  </si>
  <si>
    <t>Widening</t>
  </si>
  <si>
    <t>Resurfacing</t>
  </si>
  <si>
    <t>Subgrade Stabilization</t>
  </si>
  <si>
    <t>Steel Beam Guardrail</t>
  </si>
  <si>
    <t>Steel Beam Guardrail, Shop Curved</t>
  </si>
  <si>
    <t>Additional Guardrail Posts</t>
  </si>
  <si>
    <t>EA</t>
  </si>
  <si>
    <t>Guardrail End Units, Type AT-1</t>
  </si>
  <si>
    <t>Guardrail End Units, Type CAT-1</t>
  </si>
  <si>
    <t>Guardrail End Units, Type TL-3</t>
  </si>
  <si>
    <t>Guardrail End Units, Type 350-G</t>
  </si>
  <si>
    <t>Guardrail Anchor Units, Type B-77</t>
  </si>
  <si>
    <t>Traffic Control - Maintain Traffic Under Construction (12.20 Miles)</t>
  </si>
  <si>
    <t>Thermo and Markers (4Ln Section w/ Shoulder -L-)</t>
  </si>
  <si>
    <t>Thermo and Markers (4Ln Section w/ Shoulder &amp; Gutter -L-)</t>
  </si>
  <si>
    <t>Thermo and Markers (3Ln Section w/ Shoulder -L-)</t>
  </si>
  <si>
    <t>Thermo and Markers (3Ln Section w/ Shoulder &amp; Gutter -L-)</t>
  </si>
  <si>
    <t>Thermo and Markers (2Ln w/Shoulder)</t>
  </si>
  <si>
    <t>Erosion Control</t>
  </si>
  <si>
    <t>Acres</t>
  </si>
  <si>
    <t>Pavement Removal</t>
  </si>
  <si>
    <t>SF</t>
  </si>
  <si>
    <t>Retaining Walls</t>
  </si>
  <si>
    <t xml:space="preserve">#1: 125' @ Avg Height 17.87' (max. 31.63') </t>
  </si>
  <si>
    <t xml:space="preserve">#2: 87.54' @ Avg Height 25.34' (max. 35.75') </t>
  </si>
  <si>
    <t xml:space="preserve">#3: 135.22' @ Avg Height 3.34' (max. 3.75') </t>
  </si>
  <si>
    <t xml:space="preserve">#4: 261.84' @ Avg Height 2.04' (max. 3.63') </t>
  </si>
  <si>
    <t xml:space="preserve">#5: 200' @ Avg Height 8.41' (max. 12.96') </t>
  </si>
  <si>
    <t xml:space="preserve">#6: 575' @ Avg Height 10.56' (max. 17.40') </t>
  </si>
  <si>
    <t xml:space="preserve">#7: 150' @ Avg Height 4.03' (max. 4.16') </t>
  </si>
  <si>
    <t xml:space="preserve">#8: 1393.66' @ Avg Height 9.31' (max. 16.57') </t>
  </si>
  <si>
    <t xml:space="preserve">#9: 300' @ Avg Height 21.97' (max. 35.96') </t>
  </si>
  <si>
    <t xml:space="preserve">#10: 422.89' @ Avg Height 9.85' (max. 14.32') </t>
  </si>
  <si>
    <t xml:space="preserve">#11: 300' @ Avg Height 6.69' (max. 9.28') </t>
  </si>
  <si>
    <t xml:space="preserve">#12: 1400' @ Avg Height 14.21' (max. 26.13') </t>
  </si>
  <si>
    <t xml:space="preserve">#13: 150' @ Avg Height 4.02' (max. 4.32') </t>
  </si>
  <si>
    <t xml:space="preserve">#14: 1600' @ Avg Height 13.01' (max. 31.15') </t>
  </si>
  <si>
    <t xml:space="preserve">#15: 150' @ Avg Height 6.33' (max. 8.51') </t>
  </si>
  <si>
    <t xml:space="preserve">#16: 1241.90' @ Avg Height 12.23' (max. 28.34') </t>
  </si>
  <si>
    <t xml:space="preserve">#17: 300' @ Avg Height 11.05' (max. 28.85') </t>
  </si>
  <si>
    <t xml:space="preserve">#18: 500' @ Avg Height 5.41' (max. 6.63') </t>
  </si>
  <si>
    <t xml:space="preserve">#19: 400' @ Avg Height 5.64' (max. 7.57') </t>
  </si>
  <si>
    <t xml:space="preserve">#20: 300' @ Avg Height 3.86' (max. 7.77') </t>
  </si>
  <si>
    <t xml:space="preserve">#21: 250' @ Avg Height 1.57' (max. 3.62') </t>
  </si>
  <si>
    <t xml:space="preserve">#22: 650' @ Avg Height 2.49' (max. 4.57') </t>
  </si>
  <si>
    <t xml:space="preserve">#23: 433.57' @ Avg Height 9.62' (max. 12.11') </t>
  </si>
  <si>
    <t xml:space="preserve">#24: 400' @ Avg Height 7.31' (max. 14.40') </t>
  </si>
  <si>
    <t xml:space="preserve">#25: 200' @ Avg Height 0.47' (max. 1.02') </t>
  </si>
  <si>
    <t xml:space="preserve">#26: 828' @ Avg Height 8.00' (max. 13.83') </t>
  </si>
  <si>
    <t xml:space="preserve">#27: 730' @ Avg Height 26.24' (max. 41.27') </t>
  </si>
  <si>
    <t>Concrete Barriers</t>
  </si>
  <si>
    <t>Culverts</t>
  </si>
  <si>
    <t>Site 3;  Extend 3@ 119' x 12' x 9' RCBC                                                Prop. NC 143 at Sweetwater Creek</t>
  </si>
  <si>
    <t>Site 4;  New 1@ 267' x 6' x 7' RCBC                                                Prop. NC 143 at Sweetwater Creek Trib. (SI)</t>
  </si>
  <si>
    <t>Site 5;  New 1@ 99' x 7' x 8' RCBC                                                Prop. NC 143 at Slay Bacon Branch</t>
  </si>
  <si>
    <t>Site 6;  Extend 3@ 43' x 11' x 9' RCBC                                                Prop. NC 143 at Sweetwater Creek</t>
  </si>
  <si>
    <t>Site 7;  New 1@ 89'x54" RCP; 2@ 89'x48" RCP Prop. NC 143 at Harwood Branch</t>
  </si>
  <si>
    <t>Site 8;  New 2@ 141' x 10' x 8' RCBC                                                Prop. NC 143 at Beech Creek</t>
  </si>
  <si>
    <t>Site 9;  New 1@ 65'x54" RCP; 2@ 65'x48" RCP                                                Prop. NC 143 at Sweetwater Creek Trib. (SAD)</t>
  </si>
  <si>
    <t>Site 10;  New 1@ 82' x 8' x 9' RCBC                                                Prop. NC 143 at Sweetwater Creek</t>
  </si>
  <si>
    <t xml:space="preserve">Site 21;  New 1@ 242' x 7' x 8' RCBC                                                Existing NC 28 at Carver Branch </t>
  </si>
  <si>
    <t>Site 22;  New 1@ 195' x 6' x 7' RCBC                                                Existing NC 28 at Carver Branch Trib. (SBJ)</t>
  </si>
  <si>
    <t>Site 24;  New 1@ 98' x 6' x 7' RCBC                                                Existing NC 28 at Edwards Branch</t>
  </si>
  <si>
    <t>Site 25;  Retain &amp; Extend 3@ 91'x10'x9' RCBC                                                             Existing NC 28 at Stecoah Creek</t>
  </si>
  <si>
    <t>Site 26;  New 1@ 224' x 6' x 7' RCBC                                                Existing NC 28 at Stecoah Creek Trib. (SDT)</t>
  </si>
  <si>
    <t>US129/NC143</t>
  </si>
  <si>
    <t>LS</t>
  </si>
  <si>
    <t>Misc. &amp; Mob  (15% Strs&amp;Util)</t>
  </si>
  <si>
    <t>Misc. &amp; Mob  (45% Roadway)</t>
  </si>
  <si>
    <t>Lgth</t>
  </si>
  <si>
    <t>Contract Cost</t>
  </si>
  <si>
    <t>…………..</t>
  </si>
  <si>
    <t>E. &amp; C. 15%</t>
  </si>
  <si>
    <t>Construction Cost</t>
  </si>
  <si>
    <t>NC 128</t>
  </si>
  <si>
    <t>US 74</t>
  </si>
  <si>
    <t>Through Volume</t>
  </si>
  <si>
    <t>(assumes 80% of traffic is through traffic)</t>
  </si>
  <si>
    <t>Local (from West)</t>
  </si>
  <si>
    <t>Local (from East)</t>
  </si>
  <si>
    <t>Closure will re-route 50% (on average) of local trips depending on where closure is located</t>
  </si>
  <si>
    <t>Total Local</t>
  </si>
  <si>
    <t>Total Local (50%)</t>
  </si>
  <si>
    <t xml:space="preserve">Total Detour Volume </t>
  </si>
  <si>
    <t>6% Dual</t>
  </si>
  <si>
    <t>5% TTST</t>
  </si>
  <si>
    <t>Detour Days/year</t>
  </si>
  <si>
    <t>Incident Management Savings</t>
  </si>
  <si>
    <t>Resiliency Savings</t>
  </si>
  <si>
    <t>If Project Not Built Asset Renewal Needed in 2025</t>
  </si>
  <si>
    <t>Reliability Time Savings (minutes)</t>
  </si>
  <si>
    <t xml:space="preserve">Percentage of Time Sensitive Trips </t>
  </si>
  <si>
    <t>Reliability Savings</t>
  </si>
  <si>
    <t>ITS/Dynamic Message Signs</t>
  </si>
  <si>
    <t>CCTV</t>
  </si>
  <si>
    <t>Dynamic Trail Blazer</t>
  </si>
  <si>
    <t>DMS Board</t>
  </si>
  <si>
    <t>Fiber Optic for ITS/Broadband</t>
  </si>
  <si>
    <t xml:space="preserve"> 1 closure per week for 3 hour each due to fallen trees</t>
  </si>
  <si>
    <t>days/year</t>
  </si>
  <si>
    <t>close for 7-10 days per year with increasing frequency (30 days in 2019)</t>
  </si>
  <si>
    <t>Auto/Trucks users would experience travel time savings as a result of the addition of Dynamic/Variable Message Signs alerting them to detour route to avoid accident in Nantahala Gorge</t>
  </si>
  <si>
    <t>Cost Savings</t>
  </si>
  <si>
    <t>Fiber/Broadband Benefits</t>
  </si>
  <si>
    <t>CONSTRUCTION COST</t>
  </si>
  <si>
    <t>Estimate Alignment Breakdown</t>
  </si>
  <si>
    <t>#</t>
  </si>
  <si>
    <t>Segment Name</t>
  </si>
  <si>
    <t>Segment ID</t>
  </si>
  <si>
    <t>Start Point</t>
  </si>
  <si>
    <t>End Point</t>
  </si>
  <si>
    <t>ALT</t>
  </si>
  <si>
    <t>Alt 1</t>
  </si>
  <si>
    <t>IE-1</t>
  </si>
  <si>
    <t>Start</t>
  </si>
  <si>
    <t>3R</t>
  </si>
  <si>
    <t>Wet</t>
  </si>
  <si>
    <t>x</t>
  </si>
  <si>
    <t>Dry</t>
  </si>
  <si>
    <t>L_IH</t>
  </si>
  <si>
    <t>IE-2</t>
  </si>
  <si>
    <t>END</t>
  </si>
  <si>
    <t>L_HG</t>
  </si>
  <si>
    <t>IE-3</t>
  </si>
  <si>
    <t>NA</t>
  </si>
  <si>
    <t>S_GF</t>
  </si>
  <si>
    <t>IE-4</t>
  </si>
  <si>
    <t>L_FB1_5-A</t>
  </si>
  <si>
    <t>IE-5</t>
  </si>
  <si>
    <t>L_FB1_5-B</t>
  </si>
  <si>
    <t>IE-6</t>
  </si>
  <si>
    <t>L_FB1_5-C</t>
  </si>
  <si>
    <t>IE-7</t>
  </si>
  <si>
    <t>NC283R-A</t>
  </si>
  <si>
    <t>IE-8</t>
  </si>
  <si>
    <t>B-2</t>
  </si>
  <si>
    <t>NC283R-B</t>
  </si>
  <si>
    <t>IE-9</t>
  </si>
  <si>
    <t>NC283R-C</t>
  </si>
  <si>
    <t>IE-10</t>
  </si>
  <si>
    <t>SW_BA-A</t>
  </si>
  <si>
    <t>IE-11</t>
  </si>
  <si>
    <t>SW_BA-B</t>
  </si>
  <si>
    <t>IE-12</t>
  </si>
  <si>
    <t>Total:</t>
  </si>
  <si>
    <t>UTILITIES ESTIMATE</t>
  </si>
  <si>
    <t>Fiber</t>
  </si>
  <si>
    <t>Right-of-Way</t>
  </si>
  <si>
    <r>
      <rPr>
        <b/>
        <sz val="12"/>
        <rFont val="Calibri"/>
        <family val="2"/>
      </rPr>
      <t>Alt. 1</t>
    </r>
  </si>
  <si>
    <r>
      <rPr>
        <b/>
        <sz val="12"/>
        <rFont val="Calibri"/>
        <family val="2"/>
      </rPr>
      <t>TYPE OF ACCESS:</t>
    </r>
  </si>
  <si>
    <r>
      <rPr>
        <b/>
        <sz val="9"/>
        <rFont val="Calibri"/>
        <family val="2"/>
      </rPr>
      <t>NONE:</t>
    </r>
  </si>
  <si>
    <r>
      <rPr>
        <b/>
        <sz val="9"/>
        <rFont val="Calibri"/>
        <family val="2"/>
      </rPr>
      <t>LIMITED:</t>
    </r>
  </si>
  <si>
    <r>
      <rPr>
        <b/>
        <sz val="9"/>
        <rFont val="Calibri"/>
        <family val="2"/>
      </rPr>
      <t>PARTIAL:</t>
    </r>
  </si>
  <si>
    <r>
      <rPr>
        <b/>
        <sz val="9"/>
        <rFont val="Calibri"/>
        <family val="2"/>
      </rPr>
      <t>FULL:</t>
    </r>
  </si>
  <si>
    <r>
      <rPr>
        <b/>
        <sz val="10"/>
        <rFont val="Calibri"/>
        <family val="2"/>
      </rPr>
      <t>ESTIMATED NO. OF PARCELS:</t>
    </r>
  </si>
  <si>
    <r>
      <rPr>
        <b/>
        <sz val="10"/>
        <rFont val="Calibri"/>
        <family val="2"/>
      </rPr>
      <t>RESIDENTIAL RELOCATEES</t>
    </r>
    <r>
      <rPr>
        <sz val="10"/>
        <rFont val="Calibri"/>
        <family val="2"/>
      </rPr>
      <t>:</t>
    </r>
  </si>
  <si>
    <r>
      <rPr>
        <b/>
        <sz val="10"/>
        <rFont val="Calibri"/>
        <family val="2"/>
      </rPr>
      <t>BUSINESS RELOCATEES</t>
    </r>
    <r>
      <rPr>
        <sz val="10"/>
        <rFont val="Calibri"/>
        <family val="2"/>
      </rPr>
      <t>:</t>
    </r>
  </si>
  <si>
    <r>
      <rPr>
        <b/>
        <sz val="10"/>
        <rFont val="Calibri"/>
        <family val="2"/>
      </rPr>
      <t>GRAVES</t>
    </r>
    <r>
      <rPr>
        <sz val="10"/>
        <rFont val="Calibri"/>
        <family val="2"/>
      </rPr>
      <t>:</t>
    </r>
  </si>
  <si>
    <r>
      <rPr>
        <b/>
        <sz val="11"/>
        <rFont val="Calibri"/>
        <family val="2"/>
      </rPr>
      <t>-</t>
    </r>
  </si>
  <si>
    <r>
      <rPr>
        <b/>
        <sz val="11"/>
        <rFont val="Calibri"/>
        <family val="2"/>
      </rPr>
      <t>$ -</t>
    </r>
  </si>
  <si>
    <r>
      <rPr>
        <b/>
        <sz val="10"/>
        <rFont val="Calibri"/>
        <family val="2"/>
      </rPr>
      <t>CHURCH / NON – PROFIT</t>
    </r>
    <r>
      <rPr>
        <sz val="10"/>
        <rFont val="Calibri"/>
        <family val="2"/>
      </rPr>
      <t>:</t>
    </r>
  </si>
  <si>
    <r>
      <rPr>
        <b/>
        <sz val="10"/>
        <rFont val="Calibri"/>
        <family val="2"/>
      </rPr>
      <t>MISC</t>
    </r>
    <r>
      <rPr>
        <sz val="10"/>
        <rFont val="Calibri"/>
        <family val="2"/>
      </rPr>
      <t>:</t>
    </r>
  </si>
  <si>
    <r>
      <rPr>
        <b/>
        <sz val="10"/>
        <rFont val="Calibri"/>
        <family val="2"/>
      </rPr>
      <t>SIGNS</t>
    </r>
    <r>
      <rPr>
        <sz val="10"/>
        <rFont val="Calibri"/>
        <family val="2"/>
      </rPr>
      <t>:</t>
    </r>
  </si>
  <si>
    <r>
      <rPr>
        <b/>
        <sz val="10"/>
        <rFont val="Calibri"/>
        <family val="2"/>
      </rPr>
      <t>LAND, IMPROVEMENTS, &amp; DAMAGES</t>
    </r>
    <r>
      <rPr>
        <sz val="10"/>
        <rFont val="Calibri"/>
        <family val="2"/>
      </rPr>
      <t>:</t>
    </r>
  </si>
  <si>
    <r>
      <rPr>
        <b/>
        <sz val="10"/>
        <rFont val="Calibri"/>
        <family val="2"/>
      </rPr>
      <t>ACQUISTION</t>
    </r>
    <r>
      <rPr>
        <sz val="10"/>
        <rFont val="Calibri"/>
        <family val="2"/>
      </rPr>
      <t>:</t>
    </r>
  </si>
  <si>
    <t xml:space="preserve">TOTAL ESTIMATED R/W COST:  </t>
  </si>
  <si>
    <t>RIGHT-OF-WAY ESTIMATE</t>
  </si>
  <si>
    <t>Total Construction</t>
  </si>
  <si>
    <t>Note: Costs include the 30% Contingency included in the overall cost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</si>
</sst>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  <numFmt numFmtId="167" formatCode="_(* #,##0.0_);_(* \(#,##0.0\);_(* &quot;-&quot;??_);_(@_)"/>
    <numFmt numFmtId="168" formatCode="&quot;$&quot;#,##0.000"/>
    <numFmt numFmtId="169" formatCode="&quot;$&quot;#,##0.00"/>
    <numFmt numFmtId="170" formatCode="&quot;$&quot;#,##0"/>
    <numFmt numFmtId="171" formatCode="#."/>
    <numFmt numFmtId="172" formatCode="m\o\n\th\ d\,\ yyyy"/>
    <numFmt numFmtId="173" formatCode="#.00"/>
    <numFmt numFmtId="174" formatCode="[Red]&quot;E: &quot;#,##0;[Red]&quot;E: &quot;\-#,##0;[Blue]&quot;OK&quot;"/>
    <numFmt numFmtId="175" formatCode="_(* #,##0_);_(* \(#,##0\);_(* &quot;-&quot;?_);_(@_)"/>
    <numFmt numFmtId="176" formatCode="_(&quot;$&quot;* #,##0.0000_);_(&quot;$&quot;* \(#,##0.0000\);_(&quot;$&quot;* &quot;-&quot;??_);_(@_)"/>
    <numFmt numFmtId="177" formatCode="0.000000E+00"/>
    <numFmt numFmtId="178" formatCode="0.0%"/>
    <numFmt numFmtId="179" formatCode="&quot;$&quot;#,##0.0"/>
    <numFmt numFmtId="180" formatCode="0.000"/>
    <numFmt numFmtId="181" formatCode="\$#,##0;\$#,##0"/>
    <numFmt numFmtId="182" formatCode="_(* #,##0.000_);_(* \(#,##0.000\);_(* &quot;-&quot;??_);_(@_)"/>
    <numFmt numFmtId="183" formatCode="_(* #,##0.00000000_);_(* \(#,##0.00000000\);_(* &quot;-&quot;??_);_(@_)"/>
    <numFmt numFmtId="184" formatCode="&quot;$&quot;#,##0.0000"/>
    <numFmt numFmtId="185" formatCode="_(\$* #,##0.00_);_(\$* \(#,##0.00\);_(\$* \-??_);_(@_)"/>
    <numFmt numFmtId="186" formatCode="\$#,##0"/>
    <numFmt numFmtId="187" formatCode="#,##0.000"/>
    <numFmt numFmtId="188" formatCode="#,##0.0"/>
    <numFmt numFmtId="189" formatCode="\$\ #,##0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Times New Roman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"/>
      <color indexed="8"/>
      <name val="Courier"/>
      <family val="3"/>
    </font>
    <font>
      <b/>
      <sz val="13"/>
      <color theme="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u/>
      <sz val="11"/>
      <color theme="10"/>
      <name val="Calibri"/>
      <family val="2"/>
    </font>
    <font>
      <sz val="10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8"/>
      <name val="Helv"/>
    </font>
    <font>
      <sz val="10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0"/>
      <name val="Calibri"/>
      <family val="2"/>
    </font>
    <font>
      <b/>
      <sz val="10"/>
      <name val="Calibri"/>
      <family val="1"/>
      <charset val="204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sz val="11"/>
      <color indexed="62"/>
      <name val="Arial"/>
      <family val="2"/>
    </font>
    <font>
      <b/>
      <sz val="11"/>
      <color indexed="62"/>
      <name val="Calibri"/>
      <family val="1"/>
      <charset val="204"/>
    </font>
    <font>
      <sz val="11"/>
      <color indexed="8"/>
      <name val="Calibri"/>
      <family val="1"/>
      <charset val="204"/>
    </font>
    <font>
      <sz val="11"/>
      <color indexed="62"/>
      <name val="Calibri"/>
      <family val="1"/>
      <charset val="204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.5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62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indexed="8"/>
      <name val="Arial, Helvetica, sans-serif"/>
    </font>
    <font>
      <sz val="14"/>
      <name val="Arial"/>
      <family val="2"/>
    </font>
    <font>
      <sz val="10"/>
      <color indexed="56"/>
      <name val="Arial, Helvetica, sans-serif"/>
    </font>
    <font>
      <b/>
      <sz val="10"/>
      <color indexed="56"/>
      <name val="Arial, Helvetica, sans-serif"/>
    </font>
    <font>
      <b/>
      <sz val="10"/>
      <color indexed="9"/>
      <name val="Arial, Helvetica, sans-serif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u/>
      <sz val="10"/>
      <color theme="1"/>
      <name val="Times New Roman"/>
      <family val="1"/>
    </font>
    <font>
      <b/>
      <sz val="12"/>
      <name val="Calibri"/>
      <family val="2"/>
    </font>
    <font>
      <b/>
      <sz val="9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2"/>
      <color rgb="FFFF0000"/>
      <name val="Calibri"/>
      <family val="2"/>
    </font>
  </fonts>
  <fills count="9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57626E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2F2F2"/>
        <bgColor indexed="64"/>
      </patternFill>
    </fill>
    <fill>
      <patternFill patternType="solid">
        <fgColor rgb="FF54D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CDE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DC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BD"/>
        <bgColor indexed="64"/>
      </patternFill>
    </fill>
  </fills>
  <borders count="1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BB133E"/>
      </left>
      <right style="thick">
        <color rgb="FFBB133E"/>
      </right>
      <top style="thick">
        <color rgb="FFBB133E"/>
      </top>
      <bottom/>
      <diagonal/>
    </border>
    <border>
      <left style="thick">
        <color rgb="FFBB133E"/>
      </left>
      <right style="thick">
        <color rgb="FFBB133E"/>
      </right>
      <top/>
      <bottom/>
      <diagonal/>
    </border>
    <border>
      <left style="thick">
        <color rgb="FFBB133E"/>
      </left>
      <right style="thick">
        <color rgb="FFBB133E"/>
      </right>
      <top/>
      <bottom style="thick">
        <color rgb="FFBB133E"/>
      </bottom>
      <diagonal/>
    </border>
    <border>
      <left style="thick">
        <color rgb="FFBB133E"/>
      </left>
      <right/>
      <top/>
      <bottom/>
      <diagonal/>
    </border>
    <border>
      <left/>
      <right style="thick">
        <color rgb="FFBB133E"/>
      </right>
      <top/>
      <bottom/>
      <diagonal/>
    </border>
    <border>
      <left style="thick">
        <color rgb="FFBB133E"/>
      </left>
      <right style="thick">
        <color rgb="FFBB133E"/>
      </right>
      <top/>
      <bottom style="thin">
        <color rgb="FFBB133E"/>
      </bottom>
      <diagonal/>
    </border>
    <border>
      <left style="thick">
        <color rgb="FFBB133E"/>
      </left>
      <right style="thick">
        <color rgb="FFBB133E"/>
      </right>
      <top style="thin">
        <color rgb="FFBB133E"/>
      </top>
      <bottom style="thin">
        <color rgb="FFBB133E"/>
      </bottom>
      <diagonal/>
    </border>
    <border>
      <left style="thick">
        <color rgb="FFBB133E"/>
      </left>
      <right/>
      <top style="thin">
        <color rgb="FFBB133E"/>
      </top>
      <bottom style="thin">
        <color rgb="FFBB133E"/>
      </bottom>
      <diagonal/>
    </border>
    <border>
      <left/>
      <right/>
      <top style="thin">
        <color rgb="FFBB133E"/>
      </top>
      <bottom style="thin">
        <color rgb="FFBB133E"/>
      </bottom>
      <diagonal/>
    </border>
    <border>
      <left/>
      <right style="thick">
        <color rgb="FFBB133E"/>
      </right>
      <top style="thin">
        <color rgb="FFBB133E"/>
      </top>
      <bottom style="thin">
        <color rgb="FFBB133E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5F5F5F"/>
      </bottom>
      <diagonal/>
    </border>
    <border>
      <left/>
      <right style="thin">
        <color rgb="FF000000"/>
      </right>
      <top/>
      <bottom style="thin">
        <color rgb="FF5F5F5F"/>
      </bottom>
      <diagonal/>
    </border>
    <border>
      <left style="thin">
        <color rgb="FF000000"/>
      </left>
      <right/>
      <top style="thin">
        <color rgb="FF000000"/>
      </top>
      <bottom style="thin">
        <color rgb="FF5F5F5F"/>
      </bottom>
      <diagonal/>
    </border>
    <border>
      <left/>
      <right style="thin">
        <color rgb="FF000000"/>
      </right>
      <top style="thin">
        <color rgb="FF000000"/>
      </top>
      <bottom style="thin">
        <color rgb="FF5F5F5F"/>
      </bottom>
      <diagonal/>
    </border>
    <border>
      <left style="thin">
        <color rgb="FF000000"/>
      </left>
      <right/>
      <top style="thin">
        <color rgb="FF5F5F5F"/>
      </top>
      <bottom style="thin">
        <color rgb="FF000000"/>
      </bottom>
      <diagonal/>
    </border>
    <border>
      <left/>
      <right/>
      <top style="thin">
        <color rgb="FF5F5F5F"/>
      </top>
      <bottom style="thin">
        <color rgb="FF000000"/>
      </bottom>
      <diagonal/>
    </border>
    <border>
      <left/>
      <right style="thin">
        <color rgb="FF000000"/>
      </right>
      <top style="thin">
        <color rgb="FF5F5F5F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5F5F5F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5F5F5F"/>
      </bottom>
      <diagonal/>
    </border>
    <border>
      <left style="medium">
        <color indexed="64"/>
      </left>
      <right/>
      <top style="thin">
        <color rgb="FF5F5F5F"/>
      </top>
      <bottom style="thin">
        <color rgb="FF000000"/>
      </bottom>
      <diagonal/>
    </border>
    <border>
      <left/>
      <right style="medium">
        <color indexed="64"/>
      </right>
      <top style="thin">
        <color rgb="FF5F5F5F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7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11" applyNumberFormat="0" applyAlignment="0" applyProtection="0"/>
    <xf numFmtId="0" fontId="20" fillId="7" borderId="12" applyNumberFormat="0" applyAlignment="0" applyProtection="0"/>
    <xf numFmtId="0" fontId="21" fillId="7" borderId="11" applyNumberFormat="0" applyAlignment="0" applyProtection="0"/>
    <xf numFmtId="0" fontId="22" fillId="0" borderId="13" applyNumberFormat="0" applyFill="0" applyAlignment="0" applyProtection="0"/>
    <xf numFmtId="0" fontId="23" fillId="8" borderId="14" applyNumberFormat="0" applyAlignment="0" applyProtection="0"/>
    <xf numFmtId="0" fontId="24" fillId="0" borderId="0" applyNumberFormat="0" applyFill="0" applyBorder="0" applyAlignment="0" applyProtection="0"/>
    <xf numFmtId="0" fontId="1" fillId="9" borderId="15" applyNumberFormat="0" applyFont="0" applyAlignment="0" applyProtection="0"/>
    <xf numFmtId="0" fontId="25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0" fillId="0" borderId="0"/>
    <xf numFmtId="0" fontId="27" fillId="0" borderId="0"/>
    <xf numFmtId="0" fontId="1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0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28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174" fontId="50" fillId="0" borderId="0">
      <alignment horizontal="center" vertical="center"/>
    </xf>
    <xf numFmtId="0" fontId="12" fillId="0" borderId="0" applyNumberFormat="0" applyFill="0" applyBorder="0" applyAlignment="0" applyProtection="0"/>
    <xf numFmtId="0" fontId="49" fillId="0" borderId="0">
      <alignment horizontal="left"/>
    </xf>
    <xf numFmtId="0" fontId="48" fillId="0" borderId="0" applyNumberFormat="0" applyFill="0" applyBorder="0" applyAlignment="0" applyProtection="0"/>
    <xf numFmtId="4" fontId="31" fillId="63" borderId="23" applyNumberFormat="0" applyProtection="0">
      <alignment horizontal="right" vertical="center"/>
    </xf>
    <xf numFmtId="0" fontId="36" fillId="69" borderId="5"/>
    <xf numFmtId="4" fontId="47" fillId="68" borderId="0" applyNumberFormat="0" applyProtection="0">
      <alignment horizontal="left" vertical="center" indent="1"/>
    </xf>
    <xf numFmtId="0" fontId="43" fillId="52" borderId="23" applyNumberFormat="0" applyProtection="0">
      <alignment horizontal="left" vertical="top" indent="1"/>
    </xf>
    <xf numFmtId="4" fontId="43" fillId="52" borderId="23" applyNumberFormat="0" applyProtection="0">
      <alignment horizontal="left" vertical="center" indent="1"/>
    </xf>
    <xf numFmtId="4" fontId="46" fillId="63" borderId="23" applyNumberFormat="0" applyProtection="0">
      <alignment horizontal="right" vertical="center"/>
    </xf>
    <xf numFmtId="4" fontId="43" fillId="63" borderId="23" applyNumberFormat="0" applyProtection="0">
      <alignment horizontal="right" vertical="center"/>
    </xf>
    <xf numFmtId="0" fontId="43" fillId="67" borderId="23" applyNumberFormat="0" applyProtection="0">
      <alignment horizontal="left" vertical="top" indent="1"/>
    </xf>
    <xf numFmtId="4" fontId="43" fillId="67" borderId="23" applyNumberFormat="0" applyProtection="0">
      <alignment horizontal="left" vertical="center" indent="1"/>
    </xf>
    <xf numFmtId="4" fontId="46" fillId="67" borderId="23" applyNumberFormat="0" applyProtection="0">
      <alignment vertical="center"/>
    </xf>
    <xf numFmtId="4" fontId="43" fillId="67" borderId="23" applyNumberFormat="0" applyProtection="0">
      <alignment vertical="center"/>
    </xf>
    <xf numFmtId="0" fontId="45" fillId="64" borderId="25" applyBorder="0"/>
    <xf numFmtId="0" fontId="10" fillId="66" borderId="5" applyNumberFormat="0">
      <protection locked="0"/>
    </xf>
    <xf numFmtId="0" fontId="10" fillId="63" borderId="23" applyNumberFormat="0" applyProtection="0">
      <alignment horizontal="left" vertical="top" indent="1"/>
    </xf>
    <xf numFmtId="0" fontId="10" fillId="63" borderId="23" applyNumberFormat="0" applyProtection="0">
      <alignment horizontal="left" vertical="center" indent="1"/>
    </xf>
    <xf numFmtId="0" fontId="10" fillId="65" borderId="23" applyNumberFormat="0" applyProtection="0">
      <alignment horizontal="left" vertical="top" indent="1"/>
    </xf>
    <xf numFmtId="0" fontId="10" fillId="65" borderId="23" applyNumberFormat="0" applyProtection="0">
      <alignment horizontal="left" vertical="center" indent="1"/>
    </xf>
    <xf numFmtId="0" fontId="10" fillId="52" borderId="23" applyNumberFormat="0" applyProtection="0">
      <alignment horizontal="left" vertical="top" indent="1"/>
    </xf>
    <xf numFmtId="0" fontId="10" fillId="52" borderId="23" applyNumberFormat="0" applyProtection="0">
      <alignment horizontal="left" vertical="center" indent="1"/>
    </xf>
    <xf numFmtId="0" fontId="10" fillId="64" borderId="23" applyNumberFormat="0" applyProtection="0">
      <alignment horizontal="left" vertical="top" indent="1"/>
    </xf>
    <xf numFmtId="0" fontId="10" fillId="64" borderId="23" applyNumberFormat="0" applyProtection="0">
      <alignment horizontal="left" vertical="center" indent="1"/>
    </xf>
    <xf numFmtId="4" fontId="43" fillId="52" borderId="0" applyNumberFormat="0" applyProtection="0">
      <alignment horizontal="left" vertical="center" indent="1"/>
    </xf>
    <xf numFmtId="4" fontId="43" fillId="63" borderId="0" applyNumberFormat="0" applyProtection="0">
      <alignment horizontal="left" vertical="center" indent="1"/>
    </xf>
    <xf numFmtId="4" fontId="43" fillId="52" borderId="23" applyNumberFormat="0" applyProtection="0">
      <alignment horizontal="right" vertical="center"/>
    </xf>
    <xf numFmtId="4" fontId="44" fillId="64" borderId="0" applyNumberFormat="0" applyProtection="0">
      <alignment horizontal="left" vertical="center" indent="1"/>
    </xf>
    <xf numFmtId="4" fontId="43" fillId="63" borderId="0" applyNumberFormat="0" applyProtection="0">
      <alignment horizontal="left" vertical="center" indent="1"/>
    </xf>
    <xf numFmtId="4" fontId="41" fillId="62" borderId="24" applyNumberFormat="0" applyProtection="0">
      <alignment horizontal="left" vertical="center" indent="1"/>
    </xf>
    <xf numFmtId="4" fontId="43" fillId="61" borderId="23" applyNumberFormat="0" applyProtection="0">
      <alignment horizontal="right" vertical="center"/>
    </xf>
    <xf numFmtId="4" fontId="43" fillId="60" borderId="23" applyNumberFormat="0" applyProtection="0">
      <alignment horizontal="right" vertical="center"/>
    </xf>
    <xf numFmtId="4" fontId="43" fillId="59" borderId="23" applyNumberFormat="0" applyProtection="0">
      <alignment horizontal="right" vertical="center"/>
    </xf>
    <xf numFmtId="4" fontId="43" fillId="58" borderId="23" applyNumberFormat="0" applyProtection="0">
      <alignment horizontal="right" vertical="center"/>
    </xf>
    <xf numFmtId="4" fontId="43" fillId="57" borderId="23" applyNumberFormat="0" applyProtection="0">
      <alignment horizontal="right" vertical="center"/>
    </xf>
    <xf numFmtId="4" fontId="43" fillId="56" borderId="23" applyNumberFormat="0" applyProtection="0">
      <alignment horizontal="right" vertical="center"/>
    </xf>
    <xf numFmtId="4" fontId="43" fillId="55" borderId="23" applyNumberFormat="0" applyProtection="0">
      <alignment horizontal="right" vertical="center"/>
    </xf>
    <xf numFmtId="4" fontId="43" fillId="54" borderId="23" applyNumberFormat="0" applyProtection="0">
      <alignment horizontal="right" vertical="center"/>
    </xf>
    <xf numFmtId="4" fontId="43" fillId="53" borderId="23" applyNumberFormat="0" applyProtection="0">
      <alignment horizontal="right" vertical="center"/>
    </xf>
    <xf numFmtId="4" fontId="41" fillId="52" borderId="0" applyNumberFormat="0" applyProtection="0">
      <alignment horizontal="left" vertical="center" indent="1"/>
    </xf>
    <xf numFmtId="0" fontId="41" fillId="51" borderId="23" applyNumberFormat="0" applyProtection="0">
      <alignment horizontal="left" vertical="top" indent="1"/>
    </xf>
    <xf numFmtId="4" fontId="41" fillId="51" borderId="23" applyNumberFormat="0" applyProtection="0">
      <alignment horizontal="left" vertical="center" indent="1"/>
    </xf>
    <xf numFmtId="4" fontId="42" fillId="51" borderId="23" applyNumberFormat="0" applyProtection="0">
      <alignment vertical="center"/>
    </xf>
    <xf numFmtId="4" fontId="41" fillId="51" borderId="23" applyNumberFormat="0" applyProtection="0">
      <alignment vertical="center"/>
    </xf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171" fontId="38" fillId="0" borderId="0">
      <protection locked="0"/>
    </xf>
    <xf numFmtId="171" fontId="38" fillId="0" borderId="0">
      <protection locked="0"/>
    </xf>
    <xf numFmtId="173" fontId="32" fillId="0" borderId="0">
      <protection locked="0"/>
    </xf>
    <xf numFmtId="0" fontId="37" fillId="50" borderId="0" applyNumberFormat="0" applyBorder="0" applyAlignment="0" applyProtection="0"/>
    <xf numFmtId="0" fontId="37" fillId="49" borderId="0" applyNumberFormat="0" applyBorder="0" applyAlignment="0" applyProtection="0"/>
    <xf numFmtId="0" fontId="37" fillId="48" borderId="0" applyNumberFormat="0" applyBorder="0" applyAlignment="0" applyProtection="0"/>
    <xf numFmtId="172" fontId="32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47" borderId="0" applyNumberFormat="0" applyBorder="0" applyAlignment="0" applyProtection="0"/>
    <xf numFmtId="0" fontId="34" fillId="41" borderId="0" applyNumberFormat="0" applyBorder="0" applyAlignment="0" applyProtection="0"/>
    <xf numFmtId="0" fontId="34" fillId="46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7" borderId="0" applyNumberFormat="0" applyBorder="0" applyAlignment="0" applyProtection="0"/>
    <xf numFmtId="0" fontId="35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4" borderId="0" applyNumberFormat="0" applyBorder="0" applyAlignment="0" applyProtection="0"/>
    <xf numFmtId="0" fontId="35" fillId="45" borderId="0" applyNumberFormat="0" applyBorder="0" applyAlignment="0" applyProtection="0"/>
    <xf numFmtId="0" fontId="34" fillId="44" borderId="0" applyNumberFormat="0" applyBorder="0" applyAlignment="0" applyProtection="0"/>
    <xf numFmtId="0" fontId="34" fillId="43" borderId="0" applyNumberFormat="0" applyBorder="0" applyAlignment="0" applyProtection="0"/>
    <xf numFmtId="0" fontId="35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40" borderId="0" applyNumberFormat="0" applyBorder="0" applyAlignment="0" applyProtection="0"/>
    <xf numFmtId="0" fontId="35" fillId="39" borderId="0" applyNumberFormat="0" applyBorder="0" applyAlignment="0" applyProtection="0"/>
    <xf numFmtId="0" fontId="34" fillId="38" borderId="0" applyNumberFormat="0" applyBorder="0" applyAlignment="0" applyProtection="0"/>
    <xf numFmtId="0" fontId="34" fillId="37" borderId="0" applyNumberFormat="0" applyBorder="0" applyAlignment="0" applyProtection="0"/>
    <xf numFmtId="0" fontId="33" fillId="36" borderId="0" applyProtection="0">
      <alignment vertical="center"/>
    </xf>
    <xf numFmtId="171" fontId="32" fillId="0" borderId="0">
      <protection locked="0"/>
    </xf>
    <xf numFmtId="185" fontId="10" fillId="0" borderId="0" applyFill="0" applyBorder="0" applyAlignment="0" applyProtection="0"/>
  </cellStyleXfs>
  <cellXfs count="770">
    <xf numFmtId="0" fontId="0" fillId="0" borderId="0" xfId="0"/>
    <xf numFmtId="0" fontId="3" fillId="0" borderId="0" xfId="0" applyFont="1"/>
    <xf numFmtId="9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4" fontId="3" fillId="0" borderId="0" xfId="1" applyFont="1"/>
    <xf numFmtId="0" fontId="3" fillId="0" borderId="4" xfId="0" applyFont="1" applyBorder="1"/>
    <xf numFmtId="0" fontId="0" fillId="0" borderId="0" xfId="0" applyFont="1"/>
    <xf numFmtId="0" fontId="2" fillId="0" borderId="5" xfId="0" applyFont="1" applyBorder="1"/>
    <xf numFmtId="8" fontId="2" fillId="0" borderId="5" xfId="0" applyNumberFormat="1" applyFont="1" applyBorder="1"/>
    <xf numFmtId="0" fontId="0" fillId="0" borderId="5" xfId="0" applyFont="1" applyBorder="1"/>
    <xf numFmtId="44" fontId="0" fillId="0" borderId="5" xfId="1" applyFont="1" applyBorder="1"/>
    <xf numFmtId="0" fontId="5" fillId="0" borderId="0" xfId="2" applyFill="1" applyBorder="1"/>
    <xf numFmtId="44" fontId="0" fillId="0" borderId="0" xfId="1" applyFont="1" applyBorder="1"/>
    <xf numFmtId="0" fontId="5" fillId="0" borderId="0" xfId="2"/>
    <xf numFmtId="0" fontId="2" fillId="0" borderId="0" xfId="0" applyFont="1"/>
    <xf numFmtId="166" fontId="0" fillId="0" borderId="0" xfId="3" applyNumberFormat="1" applyFont="1"/>
    <xf numFmtId="9" fontId="0" fillId="0" borderId="0" xfId="0" applyNumberFormat="1"/>
    <xf numFmtId="0" fontId="6" fillId="0" borderId="0" xfId="5"/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/>
    <xf numFmtId="0" fontId="3" fillId="0" borderId="5" xfId="0" applyFont="1" applyFill="1" applyBorder="1"/>
    <xf numFmtId="0" fontId="3" fillId="0" borderId="0" xfId="0" applyFont="1" applyFill="1"/>
    <xf numFmtId="0" fontId="3" fillId="0" borderId="6" xfId="0" applyFont="1" applyFill="1" applyBorder="1"/>
    <xf numFmtId="169" fontId="10" fillId="0" borderId="5" xfId="0" applyNumberFormat="1" applyFont="1" applyFill="1" applyBorder="1"/>
    <xf numFmtId="0" fontId="0" fillId="0" borderId="0" xfId="0" applyFill="1"/>
    <xf numFmtId="169" fontId="3" fillId="0" borderId="7" xfId="1" applyNumberFormat="1" applyFont="1" applyFill="1" applyBorder="1"/>
    <xf numFmtId="0" fontId="3" fillId="0" borderId="5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5" xfId="0" applyFont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4" fillId="0" borderId="19" xfId="0" applyFont="1" applyBorder="1" applyAlignment="1">
      <alignment horizontal="center" vertical="center" wrapText="1"/>
    </xf>
    <xf numFmtId="164" fontId="3" fillId="0" borderId="0" xfId="0" applyNumberFormat="1" applyFont="1" applyBorder="1"/>
    <xf numFmtId="0" fontId="9" fillId="0" borderId="0" xfId="2" applyFont="1" applyFill="1" applyAlignment="1" applyProtection="1"/>
    <xf numFmtId="0" fontId="30" fillId="0" borderId="0" xfId="0" applyFont="1"/>
    <xf numFmtId="0" fontId="4" fillId="0" borderId="0" xfId="0" applyFont="1"/>
    <xf numFmtId="44" fontId="3" fillId="0" borderId="5" xfId="0" applyNumberFormat="1" applyFont="1" applyBorder="1" applyAlignment="1">
      <alignment horizontal="center"/>
    </xf>
    <xf numFmtId="0" fontId="4" fillId="0" borderId="5" xfId="0" applyFont="1" applyBorder="1"/>
    <xf numFmtId="164" fontId="3" fillId="0" borderId="0" xfId="1" applyNumberFormat="1" applyFont="1" applyFill="1" applyBorder="1"/>
    <xf numFmtId="164" fontId="3" fillId="0" borderId="0" xfId="1" applyNumberFormat="1" applyFont="1" applyBorder="1"/>
    <xf numFmtId="164" fontId="3" fillId="0" borderId="0" xfId="1" applyNumberFormat="1" applyFont="1" applyFill="1"/>
    <xf numFmtId="0" fontId="29" fillId="0" borderId="0" xfId="0" applyFont="1" applyFill="1" applyAlignment="1">
      <alignment horizontal="center"/>
    </xf>
    <xf numFmtId="0" fontId="10" fillId="0" borderId="0" xfId="0" applyFont="1" applyFill="1"/>
    <xf numFmtId="6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9" fillId="0" borderId="18" xfId="2" applyFont="1" applyBorder="1" applyAlignment="1" applyProtection="1">
      <alignment vertical="top" wrapText="1"/>
    </xf>
    <xf numFmtId="0" fontId="9" fillId="0" borderId="17" xfId="2" applyFont="1" applyBorder="1" applyAlignment="1" applyProtection="1">
      <alignment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7" xfId="0" applyFont="1" applyBorder="1" applyAlignment="1">
      <alignment horizontal="center" wrapText="1"/>
    </xf>
    <xf numFmtId="0" fontId="0" fillId="34" borderId="5" xfId="0" applyFill="1" applyBorder="1"/>
    <xf numFmtId="0" fontId="3" fillId="0" borderId="5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44" fontId="3" fillId="0" borderId="0" xfId="0" applyNumberFormat="1" applyFont="1"/>
    <xf numFmtId="0" fontId="9" fillId="0" borderId="5" xfId="2" applyFont="1" applyBorder="1" applyAlignment="1" applyProtection="1">
      <alignment vertical="top" wrapText="1"/>
    </xf>
    <xf numFmtId="0" fontId="0" fillId="0" borderId="0" xfId="0"/>
    <xf numFmtId="0" fontId="0" fillId="0" borderId="5" xfId="0" applyBorder="1"/>
    <xf numFmtId="0" fontId="2" fillId="0" borderId="5" xfId="0" applyFont="1" applyBorder="1"/>
    <xf numFmtId="0" fontId="0" fillId="0" borderId="0" xfId="0" applyFill="1"/>
    <xf numFmtId="0" fontId="0" fillId="0" borderId="5" xfId="0" applyFill="1" applyBorder="1"/>
    <xf numFmtId="0" fontId="5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166" fontId="0" fillId="0" borderId="0" xfId="0" applyNumberFormat="1"/>
    <xf numFmtId="166" fontId="0" fillId="0" borderId="0" xfId="0" applyNumberFormat="1" applyAlignment="1"/>
    <xf numFmtId="0" fontId="52" fillId="0" borderId="0" xfId="0" applyFont="1"/>
    <xf numFmtId="0" fontId="53" fillId="0" borderId="26" xfId="0" applyFont="1" applyFill="1" applyBorder="1" applyAlignment="1">
      <alignment horizontal="center" vertical="center" wrapText="1"/>
    </xf>
    <xf numFmtId="175" fontId="0" fillId="0" borderId="0" xfId="0" applyNumberFormat="1"/>
    <xf numFmtId="164" fontId="2" fillId="0" borderId="0" xfId="1" applyNumberFormat="1" applyFont="1"/>
    <xf numFmtId="0" fontId="3" fillId="0" borderId="6" xfId="0" applyFont="1" applyFill="1" applyBorder="1" applyAlignment="1">
      <alignment wrapText="1"/>
    </xf>
    <xf numFmtId="44" fontId="0" fillId="0" borderId="0" xfId="1" applyFont="1"/>
    <xf numFmtId="176" fontId="0" fillId="0" borderId="0" xfId="1" applyNumberFormat="1" applyFont="1"/>
    <xf numFmtId="0" fontId="51" fillId="0" borderId="0" xfId="0" applyFont="1" applyFill="1"/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0" fillId="0" borderId="0" xfId="0" applyNumberFormat="1" applyFill="1"/>
    <xf numFmtId="0" fontId="11" fillId="0" borderId="5" xfId="0" applyFont="1" applyBorder="1" applyAlignment="1">
      <alignment vertical="center"/>
    </xf>
    <xf numFmtId="0" fontId="0" fillId="0" borderId="5" xfId="0" applyFont="1" applyFill="1" applyBorder="1"/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50" fillId="0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0" fillId="0" borderId="0" xfId="0" applyFont="1" applyFill="1" applyBorder="1"/>
    <xf numFmtId="0" fontId="2" fillId="0" borderId="26" xfId="0" applyFont="1" applyBorder="1" applyAlignment="1">
      <alignment horizontal="center" vertical="center" wrapText="1"/>
    </xf>
    <xf numFmtId="43" fontId="0" fillId="0" borderId="0" xfId="0" applyNumberFormat="1"/>
    <xf numFmtId="0" fontId="0" fillId="0" borderId="5" xfId="0" applyBorder="1" applyAlignment="1">
      <alignment wrapText="1"/>
    </xf>
    <xf numFmtId="170" fontId="0" fillId="0" borderId="0" xfId="0" applyNumberFormat="1"/>
    <xf numFmtId="177" fontId="0" fillId="0" borderId="0" xfId="0" applyNumberFormat="1"/>
    <xf numFmtId="44" fontId="51" fillId="0" borderId="0" xfId="1" applyFont="1"/>
    <xf numFmtId="0" fontId="10" fillId="0" borderId="0" xfId="0" applyFont="1" applyFill="1" applyBorder="1" applyAlignment="1">
      <alignment wrapText="1"/>
    </xf>
    <xf numFmtId="166" fontId="2" fillId="0" borderId="0" xfId="0" applyNumberFormat="1" applyFont="1"/>
    <xf numFmtId="0" fontId="3" fillId="0" borderId="4" xfId="0" applyFont="1" applyFill="1" applyBorder="1"/>
    <xf numFmtId="170" fontId="0" fillId="0" borderId="0" xfId="0" applyNumberFormat="1" applyFill="1"/>
    <xf numFmtId="169" fontId="10" fillId="0" borderId="5" xfId="0" applyNumberFormat="1" applyFont="1" applyBorder="1" applyAlignment="1">
      <alignment horizontal="center" vertical="center" wrapText="1"/>
    </xf>
    <xf numFmtId="179" fontId="10" fillId="72" borderId="5" xfId="0" applyNumberFormat="1" applyFont="1" applyFill="1" applyBorder="1" applyAlignment="1">
      <alignment horizontal="center" vertical="center" wrapText="1"/>
    </xf>
    <xf numFmtId="179" fontId="55" fillId="0" borderId="5" xfId="0" applyNumberFormat="1" applyFont="1" applyBorder="1" applyAlignment="1">
      <alignment horizontal="center" vertical="center" wrapText="1"/>
    </xf>
    <xf numFmtId="179" fontId="10" fillId="0" borderId="5" xfId="0" applyNumberFormat="1" applyFont="1" applyBorder="1" applyAlignment="1">
      <alignment horizontal="center" vertical="center" wrapText="1"/>
    </xf>
    <xf numFmtId="0" fontId="3" fillId="74" borderId="5" xfId="0" applyFont="1" applyFill="1" applyBorder="1"/>
    <xf numFmtId="0" fontId="10" fillId="0" borderId="5" xfId="0" applyFont="1" applyFill="1" applyBorder="1" applyAlignment="1">
      <alignment wrapText="1"/>
    </xf>
    <xf numFmtId="0" fontId="29" fillId="0" borderId="5" xfId="0" applyFont="1" applyBorder="1"/>
    <xf numFmtId="0" fontId="57" fillId="70" borderId="5" xfId="0" applyFont="1" applyFill="1" applyBorder="1" applyAlignment="1">
      <alignment horizontal="left" vertical="top" wrapText="1"/>
    </xf>
    <xf numFmtId="0" fontId="58" fillId="70" borderId="5" xfId="0" applyFont="1" applyFill="1" applyBorder="1" applyAlignment="1">
      <alignment horizontal="left" vertical="top" wrapText="1"/>
    </xf>
    <xf numFmtId="0" fontId="50" fillId="0" borderId="5" xfId="0" applyFont="1" applyBorder="1" applyAlignment="1">
      <alignment horizontal="left" vertical="top" wrapText="1"/>
    </xf>
    <xf numFmtId="170" fontId="10" fillId="0" borderId="5" xfId="0" applyNumberFormat="1" applyFont="1" applyBorder="1" applyAlignment="1">
      <alignment horizontal="right" vertical="top" wrapText="1"/>
    </xf>
    <xf numFmtId="0" fontId="50" fillId="0" borderId="5" xfId="0" applyFont="1" applyFill="1" applyBorder="1" applyAlignment="1">
      <alignment horizontal="left" vertical="top" wrapText="1"/>
    </xf>
    <xf numFmtId="179" fontId="0" fillId="0" borderId="0" xfId="0" applyNumberFormat="1"/>
    <xf numFmtId="0" fontId="60" fillId="0" borderId="0" xfId="0" applyFont="1" applyAlignment="1">
      <alignment vertical="center"/>
    </xf>
    <xf numFmtId="0" fontId="59" fillId="0" borderId="0" xfId="0" applyFont="1"/>
    <xf numFmtId="0" fontId="5" fillId="0" borderId="0" xfId="2" applyAlignment="1">
      <alignment vertical="center"/>
    </xf>
    <xf numFmtId="0" fontId="0" fillId="0" borderId="0" xfId="0" applyFont="1" applyAlignment="1">
      <alignment vertical="center"/>
    </xf>
    <xf numFmtId="0" fontId="3" fillId="0" borderId="5" xfId="0" applyFont="1" applyFill="1" applyBorder="1" applyAlignment="1">
      <alignment horizontal="center"/>
    </xf>
    <xf numFmtId="0" fontId="4" fillId="0" borderId="2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Alignment="1">
      <alignment wrapText="1"/>
    </xf>
    <xf numFmtId="9" fontId="3" fillId="0" borderId="0" xfId="4" applyFont="1"/>
    <xf numFmtId="4" fontId="0" fillId="0" borderId="5" xfId="0" applyNumberFormat="1" applyBorder="1"/>
    <xf numFmtId="0" fontId="62" fillId="75" borderId="17" xfId="0" applyFont="1" applyFill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181" fontId="61" fillId="0" borderId="17" xfId="0" applyNumberFormat="1" applyFont="1" applyBorder="1" applyAlignment="1">
      <alignment horizontal="left" vertical="top" wrapText="1"/>
    </xf>
    <xf numFmtId="0" fontId="53" fillId="0" borderId="27" xfId="0" applyFont="1" applyFill="1" applyBorder="1" applyAlignment="1">
      <alignment horizontal="center" vertical="center" wrapText="1"/>
    </xf>
    <xf numFmtId="3" fontId="0" fillId="0" borderId="0" xfId="1" applyNumberFormat="1" applyFont="1"/>
    <xf numFmtId="3" fontId="0" fillId="0" borderId="0" xfId="0" applyNumberFormat="1"/>
    <xf numFmtId="3" fontId="2" fillId="0" borderId="0" xfId="0" applyNumberFormat="1" applyFont="1"/>
    <xf numFmtId="37" fontId="0" fillId="0" borderId="0" xfId="0" applyNumberFormat="1"/>
    <xf numFmtId="3" fontId="0" fillId="0" borderId="0" xfId="0" applyNumberFormat="1" applyFill="1"/>
    <xf numFmtId="3" fontId="2" fillId="0" borderId="0" xfId="1" applyNumberFormat="1" applyFont="1"/>
    <xf numFmtId="3" fontId="3" fillId="0" borderId="0" xfId="0" applyNumberFormat="1" applyFont="1" applyBorder="1"/>
    <xf numFmtId="3" fontId="3" fillId="0" borderId="0" xfId="0" applyNumberFormat="1" applyFont="1" applyFill="1" applyBorder="1"/>
    <xf numFmtId="2" fontId="0" fillId="0" borderId="0" xfId="0" applyNumberFormat="1"/>
    <xf numFmtId="0" fontId="0" fillId="0" borderId="4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165" fontId="0" fillId="0" borderId="40" xfId="0" applyNumberFormat="1" applyBorder="1"/>
    <xf numFmtId="180" fontId="0" fillId="0" borderId="5" xfId="0" applyNumberFormat="1" applyBorder="1"/>
    <xf numFmtId="180" fontId="0" fillId="0" borderId="4" xfId="0" applyNumberFormat="1" applyBorder="1"/>
    <xf numFmtId="0" fontId="0" fillId="0" borderId="42" xfId="0" applyFill="1" applyBorder="1"/>
    <xf numFmtId="0" fontId="0" fillId="0" borderId="46" xfId="0" applyFill="1" applyBorder="1"/>
    <xf numFmtId="0" fontId="0" fillId="0" borderId="46" xfId="0" applyBorder="1"/>
    <xf numFmtId="180" fontId="0" fillId="0" borderId="20" xfId="0" applyNumberFormat="1" applyBorder="1"/>
    <xf numFmtId="0" fontId="0" fillId="0" borderId="54" xfId="0" applyBorder="1"/>
    <xf numFmtId="0" fontId="2" fillId="0" borderId="53" xfId="0" applyFont="1" applyBorder="1"/>
    <xf numFmtId="180" fontId="2" fillId="0" borderId="44" xfId="0" applyNumberFormat="1" applyFont="1" applyBorder="1"/>
    <xf numFmtId="180" fontId="2" fillId="0" borderId="6" xfId="0" applyNumberFormat="1" applyFont="1" applyBorder="1"/>
    <xf numFmtId="2" fontId="2" fillId="0" borderId="6" xfId="0" applyNumberFormat="1" applyFont="1" applyBorder="1"/>
    <xf numFmtId="180" fontId="2" fillId="0" borderId="47" xfId="0" applyNumberFormat="1" applyFont="1" applyBorder="1"/>
    <xf numFmtId="0" fontId="2" fillId="0" borderId="54" xfId="0" applyFont="1" applyBorder="1"/>
    <xf numFmtId="180" fontId="2" fillId="0" borderId="4" xfId="0" applyNumberFormat="1" applyFont="1" applyBorder="1"/>
    <xf numFmtId="180" fontId="2" fillId="0" borderId="5" xfId="0" applyNumberFormat="1" applyFont="1" applyBorder="1"/>
    <xf numFmtId="180" fontId="2" fillId="0" borderId="20" xfId="0" applyNumberFormat="1" applyFont="1" applyBorder="1"/>
    <xf numFmtId="0" fontId="0" fillId="0" borderId="1" xfId="0" applyBorder="1"/>
    <xf numFmtId="0" fontId="0" fillId="0" borderId="39" xfId="0" applyBorder="1"/>
    <xf numFmtId="165" fontId="0" fillId="0" borderId="4" xfId="0" applyNumberFormat="1" applyBorder="1"/>
    <xf numFmtId="165" fontId="0" fillId="0" borderId="44" xfId="0" applyNumberFormat="1" applyBorder="1"/>
    <xf numFmtId="165" fontId="0" fillId="0" borderId="45" xfId="0" applyNumberFormat="1" applyBorder="1"/>
    <xf numFmtId="0" fontId="0" fillId="0" borderId="41" xfId="0" applyFill="1" applyBorder="1"/>
    <xf numFmtId="0" fontId="0" fillId="0" borderId="43" xfId="0" applyFill="1" applyBorder="1"/>
    <xf numFmtId="0" fontId="10" fillId="0" borderId="5" xfId="0" applyFont="1" applyBorder="1"/>
    <xf numFmtId="0" fontId="51" fillId="0" borderId="5" xfId="0" applyFont="1" applyBorder="1" applyAlignment="1">
      <alignment wrapText="1"/>
    </xf>
    <xf numFmtId="0" fontId="51" fillId="0" borderId="5" xfId="0" applyFont="1" applyBorder="1"/>
    <xf numFmtId="0" fontId="51" fillId="0" borderId="0" xfId="0" applyFont="1"/>
    <xf numFmtId="0" fontId="0" fillId="34" borderId="54" xfId="0" applyFill="1" applyBorder="1"/>
    <xf numFmtId="0" fontId="0" fillId="34" borderId="4" xfId="0" applyFill="1" applyBorder="1"/>
    <xf numFmtId="165" fontId="0" fillId="34" borderId="57" xfId="0" applyNumberFormat="1" applyFill="1" applyBorder="1"/>
    <xf numFmtId="165" fontId="0" fillId="34" borderId="58" xfId="0" applyNumberFormat="1" applyFill="1" applyBorder="1"/>
    <xf numFmtId="0" fontId="0" fillId="34" borderId="56" xfId="0" applyFill="1" applyBorder="1"/>
    <xf numFmtId="165" fontId="0" fillId="34" borderId="59" xfId="0" applyNumberFormat="1" applyFill="1" applyBorder="1"/>
    <xf numFmtId="0" fontId="0" fillId="34" borderId="57" xfId="0" applyFill="1" applyBorder="1"/>
    <xf numFmtId="0" fontId="0" fillId="34" borderId="58" xfId="0" applyFill="1" applyBorder="1"/>
    <xf numFmtId="0" fontId="0" fillId="34" borderId="59" xfId="0" applyFill="1" applyBorder="1"/>
    <xf numFmtId="0" fontId="0" fillId="34" borderId="55" xfId="0" applyFont="1" applyFill="1" applyBorder="1"/>
    <xf numFmtId="0" fontId="0" fillId="34" borderId="41" xfId="0" applyFont="1" applyFill="1" applyBorder="1"/>
    <xf numFmtId="165" fontId="0" fillId="34" borderId="42" xfId="0" applyNumberFormat="1" applyFont="1" applyFill="1" applyBorder="1"/>
    <xf numFmtId="165" fontId="0" fillId="34" borderId="46" xfId="0" applyNumberFormat="1" applyFont="1" applyFill="1" applyBorder="1"/>
    <xf numFmtId="165" fontId="0" fillId="34" borderId="43" xfId="0" applyNumberFormat="1" applyFont="1" applyFill="1" applyBorder="1"/>
    <xf numFmtId="0" fontId="0" fillId="34" borderId="42" xfId="0" applyFont="1" applyFill="1" applyBorder="1"/>
    <xf numFmtId="0" fontId="0" fillId="34" borderId="46" xfId="0" applyFont="1" applyFill="1" applyBorder="1"/>
    <xf numFmtId="0" fontId="0" fillId="34" borderId="43" xfId="0" applyFont="1" applyFill="1" applyBorder="1"/>
    <xf numFmtId="180" fontId="0" fillId="34" borderId="4" xfId="0" applyNumberFormat="1" applyFill="1" applyBorder="1"/>
    <xf numFmtId="180" fontId="0" fillId="34" borderId="5" xfId="0" applyNumberFormat="1" applyFill="1" applyBorder="1"/>
    <xf numFmtId="180" fontId="0" fillId="34" borderId="20" xfId="0" applyNumberFormat="1" applyFill="1" applyBorder="1"/>
    <xf numFmtId="165" fontId="0" fillId="34" borderId="4" xfId="0" applyNumberFormat="1" applyFill="1" applyBorder="1"/>
    <xf numFmtId="165" fontId="0" fillId="34" borderId="40" xfId="0" applyNumberFormat="1" applyFill="1" applyBorder="1"/>
    <xf numFmtId="180" fontId="0" fillId="34" borderId="41" xfId="0" applyNumberFormat="1" applyFont="1" applyFill="1" applyBorder="1"/>
    <xf numFmtId="180" fontId="0" fillId="34" borderId="42" xfId="0" applyNumberFormat="1" applyFont="1" applyFill="1" applyBorder="1"/>
    <xf numFmtId="180" fontId="0" fillId="34" borderId="46" xfId="0" applyNumberFormat="1" applyFont="1" applyFill="1" applyBorder="1"/>
    <xf numFmtId="165" fontId="0" fillId="34" borderId="41" xfId="0" applyNumberFormat="1" applyFill="1" applyBorder="1"/>
    <xf numFmtId="165" fontId="0" fillId="34" borderId="43" xfId="0" applyNumberFormat="1" applyFill="1" applyBorder="1"/>
    <xf numFmtId="44" fontId="10" fillId="0" borderId="5" xfId="1" applyFont="1" applyFill="1" applyBorder="1"/>
    <xf numFmtId="0" fontId="51" fillId="0" borderId="5" xfId="0" applyFont="1" applyFill="1" applyBorder="1"/>
    <xf numFmtId="180" fontId="51" fillId="0" borderId="5" xfId="0" applyNumberFormat="1" applyFont="1" applyFill="1" applyBorder="1" applyAlignment="1">
      <alignment horizontal="center" wrapText="1"/>
    </xf>
    <xf numFmtId="0" fontId="0" fillId="79" borderId="0" xfId="0" applyFill="1"/>
    <xf numFmtId="0" fontId="53" fillId="0" borderId="0" xfId="0" applyFont="1"/>
    <xf numFmtId="0" fontId="51" fillId="0" borderId="0" xfId="0" applyFont="1" applyAlignment="1"/>
    <xf numFmtId="169" fontId="51" fillId="0" borderId="0" xfId="0" applyNumberFormat="1" applyFont="1" applyFill="1" applyAlignment="1">
      <alignment horizontal="right"/>
    </xf>
    <xf numFmtId="180" fontId="0" fillId="0" borderId="0" xfId="0" applyNumberFormat="1" applyFill="1"/>
    <xf numFmtId="0" fontId="5" fillId="0" borderId="5" xfId="2" applyFill="1" applyBorder="1"/>
    <xf numFmtId="0" fontId="5" fillId="0" borderId="0" xfId="2" applyBorder="1" applyAlignment="1">
      <alignment vertical="top"/>
    </xf>
    <xf numFmtId="0" fontId="0" fillId="0" borderId="0" xfId="0" applyAlignment="1"/>
    <xf numFmtId="170" fontId="0" fillId="0" borderId="5" xfId="0" applyNumberFormat="1" applyBorder="1"/>
    <xf numFmtId="170" fontId="2" fillId="0" borderId="22" xfId="0" applyNumberFormat="1" applyFont="1" applyBorder="1"/>
    <xf numFmtId="44" fontId="0" fillId="0" borderId="0" xfId="0" applyNumberFormat="1"/>
    <xf numFmtId="170" fontId="0" fillId="0" borderId="0" xfId="0" applyNumberFormat="1" applyBorder="1"/>
    <xf numFmtId="0" fontId="3" fillId="80" borderId="5" xfId="0" applyFont="1" applyFill="1" applyBorder="1" applyAlignment="1">
      <alignment vertical="top" wrapText="1"/>
    </xf>
    <xf numFmtId="164" fontId="0" fillId="80" borderId="0" xfId="0" applyNumberFormat="1" applyFill="1"/>
    <xf numFmtId="0" fontId="3" fillId="81" borderId="5" xfId="0" applyFont="1" applyFill="1" applyBorder="1" applyAlignment="1">
      <alignment vertical="top" wrapText="1"/>
    </xf>
    <xf numFmtId="164" fontId="0" fillId="81" borderId="0" xfId="0" applyNumberFormat="1" applyFill="1"/>
    <xf numFmtId="0" fontId="3" fillId="82" borderId="5" xfId="0" applyFont="1" applyFill="1" applyBorder="1" applyAlignment="1">
      <alignment vertical="top" wrapText="1"/>
    </xf>
    <xf numFmtId="164" fontId="0" fillId="82" borderId="0" xfId="0" applyNumberFormat="1" applyFill="1"/>
    <xf numFmtId="0" fontId="3" fillId="76" borderId="5" xfId="0" applyFont="1" applyFill="1" applyBorder="1" applyAlignment="1">
      <alignment vertical="top" wrapText="1"/>
    </xf>
    <xf numFmtId="164" fontId="0" fillId="76" borderId="0" xfId="0" applyNumberFormat="1" applyFill="1"/>
    <xf numFmtId="0" fontId="3" fillId="0" borderId="0" xfId="0" applyFont="1" applyAlignment="1">
      <alignment horizontal="center"/>
    </xf>
    <xf numFmtId="3" fontId="68" fillId="78" borderId="34" xfId="0" applyNumberFormat="1" applyFont="1" applyFill="1" applyBorder="1" applyAlignment="1">
      <alignment horizontal="center" vertical="center"/>
    </xf>
    <xf numFmtId="9" fontId="68" fillId="78" borderId="34" xfId="4" applyFont="1" applyFill="1" applyBorder="1" applyAlignment="1">
      <alignment horizontal="center" vertical="center"/>
    </xf>
    <xf numFmtId="3" fontId="68" fillId="0" borderId="35" xfId="0" applyNumberFormat="1" applyFont="1" applyFill="1" applyBorder="1" applyAlignment="1">
      <alignment horizontal="center" vertical="center"/>
    </xf>
    <xf numFmtId="9" fontId="68" fillId="0" borderId="35" xfId="4" applyFont="1" applyFill="1" applyBorder="1" applyAlignment="1">
      <alignment horizontal="center" vertical="center"/>
    </xf>
    <xf numFmtId="3" fontId="68" fillId="78" borderId="35" xfId="0" applyNumberFormat="1" applyFont="1" applyFill="1" applyBorder="1" applyAlignment="1">
      <alignment horizontal="center" vertical="center"/>
    </xf>
    <xf numFmtId="9" fontId="68" fillId="78" borderId="35" xfId="4" applyFont="1" applyFill="1" applyBorder="1" applyAlignment="1">
      <alignment horizontal="center" vertical="center"/>
    </xf>
    <xf numFmtId="10" fontId="68" fillId="78" borderId="35" xfId="4" applyNumberFormat="1" applyFont="1" applyFill="1" applyBorder="1" applyAlignment="1">
      <alignment horizontal="center" vertical="center"/>
    </xf>
    <xf numFmtId="0" fontId="53" fillId="0" borderId="0" xfId="0" applyFont="1" applyFill="1" applyBorder="1"/>
    <xf numFmtId="0" fontId="69" fillId="0" borderId="0" xfId="0" applyFont="1" applyFill="1" applyBorder="1"/>
    <xf numFmtId="10" fontId="51" fillId="0" borderId="0" xfId="4" applyNumberFormat="1" applyFont="1"/>
    <xf numFmtId="166" fontId="53" fillId="0" borderId="0" xfId="3" applyNumberFormat="1" applyFont="1"/>
    <xf numFmtId="166" fontId="51" fillId="0" borderId="0" xfId="0" applyNumberFormat="1" applyFont="1"/>
    <xf numFmtId="166" fontId="51" fillId="0" borderId="0" xfId="3" applyNumberFormat="1" applyFont="1"/>
    <xf numFmtId="178" fontId="51" fillId="0" borderId="0" xfId="4" applyNumberFormat="1" applyFont="1"/>
    <xf numFmtId="0" fontId="3" fillId="79" borderId="0" xfId="0" applyFont="1" applyFill="1"/>
    <xf numFmtId="0" fontId="62" fillId="75" borderId="17" xfId="0" applyFont="1" applyFill="1" applyBorder="1" applyAlignment="1">
      <alignment horizontal="center" vertical="top" wrapText="1"/>
    </xf>
    <xf numFmtId="165" fontId="61" fillId="0" borderId="17" xfId="0" applyNumberFormat="1" applyFont="1" applyBorder="1" applyAlignment="1">
      <alignment horizontal="center" vertical="center" wrapText="1"/>
    </xf>
    <xf numFmtId="181" fontId="61" fillId="0" borderId="17" xfId="0" applyNumberFormat="1" applyFont="1" applyBorder="1" applyAlignment="1">
      <alignment horizontal="center" vertical="top" wrapText="1"/>
    </xf>
    <xf numFmtId="0" fontId="62" fillId="0" borderId="17" xfId="0" applyFont="1" applyBorder="1" applyAlignment="1">
      <alignment horizontal="left" vertical="top" wrapText="1"/>
    </xf>
    <xf numFmtId="181" fontId="70" fillId="0" borderId="17" xfId="0" applyNumberFormat="1" applyFont="1" applyBorder="1" applyAlignment="1">
      <alignment horizontal="left" vertical="top" wrapText="1"/>
    </xf>
    <xf numFmtId="181" fontId="70" fillId="0" borderId="17" xfId="0" applyNumberFormat="1" applyFont="1" applyBorder="1" applyAlignment="1">
      <alignment horizontal="center" vertical="top" wrapText="1"/>
    </xf>
    <xf numFmtId="165" fontId="70" fillId="0" borderId="17" xfId="0" applyNumberFormat="1" applyFont="1" applyBorder="1" applyAlignment="1">
      <alignment horizontal="center" vertical="top" wrapText="1"/>
    </xf>
    <xf numFmtId="180" fontId="51" fillId="0" borderId="0" xfId="0" applyNumberFormat="1" applyFont="1"/>
    <xf numFmtId="182" fontId="0" fillId="0" borderId="0" xfId="3" applyNumberFormat="1" applyFont="1"/>
    <xf numFmtId="3" fontId="2" fillId="0" borderId="6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4" fillId="0" borderId="0" xfId="0" applyNumberFormat="1" applyFont="1"/>
    <xf numFmtId="0" fontId="2" fillId="0" borderId="0" xfId="0" applyFont="1" applyAlignment="1">
      <alignment horizontal="center"/>
    </xf>
    <xf numFmtId="0" fontId="4" fillId="0" borderId="64" xfId="0" applyFont="1" applyBorder="1" applyAlignment="1">
      <alignment horizontal="center" vertical="center" wrapText="1"/>
    </xf>
    <xf numFmtId="0" fontId="3" fillId="0" borderId="60" xfId="0" applyFont="1" applyBorder="1"/>
    <xf numFmtId="0" fontId="3" fillId="0" borderId="65" xfId="0" applyFont="1" applyBorder="1"/>
    <xf numFmtId="164" fontId="0" fillId="0" borderId="0" xfId="1" applyNumberFormat="1" applyFont="1" applyBorder="1"/>
    <xf numFmtId="3" fontId="0" fillId="0" borderId="0" xfId="1" applyNumberFormat="1" applyFont="1" applyBorder="1"/>
    <xf numFmtId="3" fontId="0" fillId="0" borderId="62" xfId="1" applyNumberFormat="1" applyFont="1" applyBorder="1"/>
    <xf numFmtId="166" fontId="3" fillId="0" borderId="65" xfId="3" applyNumberFormat="1" applyFont="1" applyBorder="1"/>
    <xf numFmtId="166" fontId="0" fillId="0" borderId="0" xfId="3" applyNumberFormat="1" applyFont="1" applyBorder="1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0" xfId="1" applyNumberFormat="1" applyFont="1" applyFill="1" applyBorder="1"/>
    <xf numFmtId="3" fontId="0" fillId="0" borderId="62" xfId="1" applyNumberFormat="1" applyFont="1" applyFill="1" applyBorder="1"/>
    <xf numFmtId="166" fontId="3" fillId="0" borderId="66" xfId="3" applyNumberFormat="1" applyFont="1" applyBorder="1"/>
    <xf numFmtId="166" fontId="0" fillId="0" borderId="67" xfId="3" applyNumberFormat="1" applyFont="1" applyBorder="1"/>
    <xf numFmtId="3" fontId="0" fillId="0" borderId="67" xfId="0" applyNumberFormat="1" applyBorder="1"/>
    <xf numFmtId="3" fontId="0" fillId="0" borderId="67" xfId="1" applyNumberFormat="1" applyFont="1" applyBorder="1"/>
    <xf numFmtId="3" fontId="0" fillId="0" borderId="68" xfId="1" applyNumberFormat="1" applyFont="1" applyBorder="1"/>
    <xf numFmtId="0" fontId="53" fillId="0" borderId="64" xfId="0" applyFont="1" applyFill="1" applyBorder="1" applyAlignment="1">
      <alignment horizontal="center" vertical="center" wrapText="1"/>
    </xf>
    <xf numFmtId="0" fontId="53" fillId="0" borderId="63" xfId="0" applyFont="1" applyFill="1" applyBorder="1" applyAlignment="1">
      <alignment horizontal="center" vertical="center" wrapText="1"/>
    </xf>
    <xf numFmtId="0" fontId="0" fillId="0" borderId="65" xfId="0" applyBorder="1"/>
    <xf numFmtId="0" fontId="0" fillId="0" borderId="62" xfId="0" applyBorder="1"/>
    <xf numFmtId="166" fontId="0" fillId="0" borderId="65" xfId="0" applyNumberFormat="1" applyBorder="1"/>
    <xf numFmtId="166" fontId="0" fillId="0" borderId="66" xfId="0" applyNumberFormat="1" applyBorder="1"/>
    <xf numFmtId="3" fontId="3" fillId="0" borderId="67" xfId="0" applyNumberFormat="1" applyFont="1" applyBorder="1"/>
    <xf numFmtId="0" fontId="56" fillId="73" borderId="1" xfId="0" applyFont="1" applyFill="1" applyBorder="1" applyAlignment="1">
      <alignment horizontal="center" vertical="center" wrapText="1"/>
    </xf>
    <xf numFmtId="0" fontId="10" fillId="76" borderId="4" xfId="0" applyFont="1" applyFill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179" fontId="10" fillId="76" borderId="4" xfId="0" applyNumberFormat="1" applyFont="1" applyFill="1" applyBorder="1" applyAlignment="1">
      <alignment vertical="center" wrapText="1"/>
    </xf>
    <xf numFmtId="179" fontId="10" fillId="0" borderId="4" xfId="0" applyNumberFormat="1" applyFont="1" applyBorder="1" applyAlignment="1">
      <alignment horizontal="right" vertical="center" wrapText="1"/>
    </xf>
    <xf numFmtId="179" fontId="29" fillId="0" borderId="4" xfId="0" applyNumberFormat="1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53" fillId="83" borderId="26" xfId="0" applyFont="1" applyFill="1" applyBorder="1" applyAlignment="1">
      <alignment horizontal="center" vertical="center" wrapText="1"/>
    </xf>
    <xf numFmtId="0" fontId="0" fillId="83" borderId="0" xfId="0" applyFill="1"/>
    <xf numFmtId="166" fontId="0" fillId="83" borderId="0" xfId="0" applyNumberFormat="1" applyFill="1"/>
    <xf numFmtId="164" fontId="0" fillId="83" borderId="0" xfId="1" applyNumberFormat="1" applyFont="1" applyFill="1"/>
    <xf numFmtId="166" fontId="0" fillId="0" borderId="65" xfId="3" applyNumberFormat="1" applyFont="1" applyBorder="1"/>
    <xf numFmtId="164" fontId="0" fillId="0" borderId="0" xfId="0" applyNumberFormat="1" applyBorder="1"/>
    <xf numFmtId="164" fontId="0" fillId="0" borderId="62" xfId="1" applyNumberFormat="1" applyFont="1" applyBorder="1"/>
    <xf numFmtId="166" fontId="0" fillId="0" borderId="66" xfId="3" applyNumberFormat="1" applyFont="1" applyBorder="1"/>
    <xf numFmtId="164" fontId="0" fillId="0" borderId="67" xfId="1" applyNumberFormat="1" applyFont="1" applyBorder="1"/>
    <xf numFmtId="164" fontId="0" fillId="0" borderId="67" xfId="0" applyNumberFormat="1" applyBorder="1"/>
    <xf numFmtId="164" fontId="0" fillId="0" borderId="68" xfId="1" applyNumberFormat="1" applyFont="1" applyBorder="1"/>
    <xf numFmtId="164" fontId="4" fillId="0" borderId="0" xfId="1" applyNumberFormat="1" applyFont="1" applyBorder="1"/>
    <xf numFmtId="0" fontId="4" fillId="0" borderId="0" xfId="0" applyFont="1" applyAlignment="1">
      <alignment horizontal="center"/>
    </xf>
    <xf numFmtId="6" fontId="0" fillId="0" borderId="5" xfId="0" applyNumberFormat="1" applyBorder="1"/>
    <xf numFmtId="9" fontId="0" fillId="0" borderId="5" xfId="0" applyNumberFormat="1" applyBorder="1"/>
    <xf numFmtId="167" fontId="2" fillId="0" borderId="5" xfId="3" applyNumberFormat="1" applyFont="1" applyBorder="1" applyAlignment="1">
      <alignment wrapText="1"/>
    </xf>
    <xf numFmtId="3" fontId="0" fillId="0" borderId="5" xfId="1" applyNumberFormat="1" applyFont="1" applyBorder="1"/>
    <xf numFmtId="170" fontId="0" fillId="0" borderId="4" xfId="0" applyNumberFormat="1" applyBorder="1"/>
    <xf numFmtId="164" fontId="0" fillId="0" borderId="40" xfId="0" applyNumberFormat="1" applyBorder="1"/>
    <xf numFmtId="9" fontId="0" fillId="0" borderId="40" xfId="0" applyNumberFormat="1" applyBorder="1"/>
    <xf numFmtId="167" fontId="2" fillId="0" borderId="4" xfId="3" applyNumberFormat="1" applyFont="1" applyBorder="1" applyAlignment="1">
      <alignment wrapText="1"/>
    </xf>
    <xf numFmtId="167" fontId="2" fillId="0" borderId="40" xfId="3" applyNumberFormat="1" applyFont="1" applyBorder="1" applyAlignment="1">
      <alignment wrapText="1"/>
    </xf>
    <xf numFmtId="3" fontId="0" fillId="0" borderId="4" xfId="3" applyNumberFormat="1" applyFont="1" applyBorder="1" applyAlignment="1">
      <alignment wrapText="1"/>
    </xf>
    <xf numFmtId="3" fontId="0" fillId="0" borderId="40" xfId="1" applyNumberFormat="1" applyFont="1" applyBorder="1"/>
    <xf numFmtId="3" fontId="0" fillId="0" borderId="4" xfId="0" applyNumberFormat="1" applyBorder="1"/>
    <xf numFmtId="3" fontId="0" fillId="0" borderId="4" xfId="1" applyNumberFormat="1" applyFont="1" applyBorder="1"/>
    <xf numFmtId="3" fontId="0" fillId="0" borderId="4" xfId="3" applyNumberFormat="1" applyFont="1" applyBorder="1"/>
    <xf numFmtId="3" fontId="0" fillId="0" borderId="41" xfId="3" applyNumberFormat="1" applyFont="1" applyBorder="1"/>
    <xf numFmtId="3" fontId="0" fillId="0" borderId="42" xfId="1" applyNumberFormat="1" applyFont="1" applyBorder="1"/>
    <xf numFmtId="3" fontId="0" fillId="0" borderId="43" xfId="1" applyNumberFormat="1" applyFont="1" applyBorder="1"/>
    <xf numFmtId="0" fontId="71" fillId="0" borderId="0" xfId="0" applyFont="1" applyAlignment="1">
      <alignment horizontal="center"/>
    </xf>
    <xf numFmtId="0" fontId="3" fillId="0" borderId="60" xfId="0" applyFont="1" applyFill="1" applyBorder="1"/>
    <xf numFmtId="164" fontId="0" fillId="0" borderId="5" xfId="1" applyNumberFormat="1" applyFont="1" applyBorder="1"/>
    <xf numFmtId="37" fontId="0" fillId="0" borderId="5" xfId="1" applyNumberFormat="1" applyFont="1" applyBorder="1"/>
    <xf numFmtId="167" fontId="2" fillId="0" borderId="1" xfId="3" applyNumberFormat="1" applyFont="1" applyBorder="1" applyAlignment="1">
      <alignment wrapText="1"/>
    </xf>
    <xf numFmtId="167" fontId="2" fillId="0" borderId="2" xfId="3" applyNumberFormat="1" applyFont="1" applyBorder="1" applyAlignment="1">
      <alignment wrapText="1"/>
    </xf>
    <xf numFmtId="167" fontId="2" fillId="0" borderId="39" xfId="3" applyNumberFormat="1" applyFont="1" applyBorder="1" applyAlignment="1">
      <alignment wrapText="1"/>
    </xf>
    <xf numFmtId="166" fontId="0" fillId="0" borderId="4" xfId="3" applyNumberFormat="1" applyFont="1" applyBorder="1"/>
    <xf numFmtId="164" fontId="0" fillId="0" borderId="40" xfId="1" applyNumberFormat="1" applyFont="1" applyBorder="1"/>
    <xf numFmtId="37" fontId="0" fillId="0" borderId="40" xfId="1" applyNumberFormat="1" applyFont="1" applyBorder="1"/>
    <xf numFmtId="37" fontId="0" fillId="0" borderId="42" xfId="0" applyNumberFormat="1" applyBorder="1"/>
    <xf numFmtId="37" fontId="0" fillId="0" borderId="43" xfId="0" applyNumberFormat="1" applyBorder="1"/>
    <xf numFmtId="0" fontId="3" fillId="35" borderId="5" xfId="0" applyFont="1" applyFill="1" applyBorder="1" applyAlignment="1">
      <alignment vertical="top" wrapText="1"/>
    </xf>
    <xf numFmtId="0" fontId="3" fillId="84" borderId="5" xfId="0" applyFont="1" applyFill="1" applyBorder="1" applyAlignment="1">
      <alignment vertical="top" wrapText="1"/>
    </xf>
    <xf numFmtId="164" fontId="0" fillId="35" borderId="0" xfId="0" applyNumberFormat="1" applyFill="1"/>
    <xf numFmtId="164" fontId="0" fillId="84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3" fillId="0" borderId="4" xfId="0" applyFont="1" applyBorder="1"/>
    <xf numFmtId="0" fontId="53" fillId="0" borderId="5" xfId="0" applyFont="1" applyBorder="1"/>
    <xf numFmtId="0" fontId="53" fillId="0" borderId="20" xfId="0" applyFont="1" applyBorder="1"/>
    <xf numFmtId="0" fontId="53" fillId="0" borderId="40" xfId="0" applyFont="1" applyBorder="1"/>
    <xf numFmtId="0" fontId="0" fillId="79" borderId="0" xfId="0" applyFill="1" applyAlignment="1">
      <alignment horizontal="center"/>
    </xf>
    <xf numFmtId="0" fontId="56" fillId="73" borderId="69" xfId="0" applyFont="1" applyFill="1" applyBorder="1" applyAlignment="1">
      <alignment horizontal="center" vertical="center" wrapText="1"/>
    </xf>
    <xf numFmtId="0" fontId="56" fillId="73" borderId="26" xfId="0" applyFont="1" applyFill="1" applyBorder="1" applyAlignment="1">
      <alignment horizontal="center" vertical="center" wrapText="1"/>
    </xf>
    <xf numFmtId="0" fontId="56" fillId="73" borderId="7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169" fontId="0" fillId="0" borderId="0" xfId="0" applyNumberFormat="1" applyAlignment="1"/>
    <xf numFmtId="166" fontId="2" fillId="0" borderId="0" xfId="0" applyNumberFormat="1" applyFont="1" applyAlignment="1"/>
    <xf numFmtId="9" fontId="0" fillId="0" borderId="0" xfId="4" applyFont="1" applyAlignment="1"/>
    <xf numFmtId="170" fontId="0" fillId="0" borderId="0" xfId="0" applyNumberFormat="1" applyAlignment="1"/>
    <xf numFmtId="170" fontId="2" fillId="0" borderId="0" xfId="0" applyNumberFormat="1" applyFont="1" applyAlignment="1"/>
    <xf numFmtId="0" fontId="0" fillId="0" borderId="5" xfId="0" applyBorder="1" applyAlignment="1"/>
    <xf numFmtId="166" fontId="0" fillId="0" borderId="5" xfId="3" applyNumberFormat="1" applyFont="1" applyBorder="1" applyAlignment="1"/>
    <xf numFmtId="0" fontId="0" fillId="0" borderId="2" xfId="0" applyBorder="1" applyAlignment="1"/>
    <xf numFmtId="170" fontId="0" fillId="0" borderId="40" xfId="0" applyNumberFormat="1" applyBorder="1" applyAlignment="1"/>
    <xf numFmtId="0" fontId="2" fillId="0" borderId="4" xfId="0" applyFont="1" applyBorder="1" applyAlignment="1">
      <alignment horizontal="center"/>
    </xf>
    <xf numFmtId="0" fontId="0" fillId="0" borderId="42" xfId="0" applyBorder="1" applyAlignment="1"/>
    <xf numFmtId="0" fontId="0" fillId="0" borderId="71" xfId="0" applyBorder="1" applyAlignment="1"/>
    <xf numFmtId="0" fontId="0" fillId="0" borderId="72" xfId="0" applyBorder="1" applyAlignment="1"/>
    <xf numFmtId="183" fontId="0" fillId="0" borderId="73" xfId="0" applyNumberFormat="1" applyBorder="1" applyAlignment="1">
      <alignment horizontal="center"/>
    </xf>
    <xf numFmtId="0" fontId="2" fillId="0" borderId="75" xfId="0" applyFont="1" applyBorder="1" applyAlignment="1"/>
    <xf numFmtId="166" fontId="2" fillId="0" borderId="75" xfId="0" applyNumberFormat="1" applyFont="1" applyBorder="1" applyAlignment="1"/>
    <xf numFmtId="170" fontId="2" fillId="0" borderId="76" xfId="0" applyNumberFormat="1" applyFont="1" applyBorder="1" applyAlignment="1"/>
    <xf numFmtId="166" fontId="0" fillId="0" borderId="2" xfId="3" applyNumberFormat="1" applyFont="1" applyBorder="1" applyAlignment="1"/>
    <xf numFmtId="170" fontId="0" fillId="0" borderId="39" xfId="0" applyNumberFormat="1" applyBorder="1" applyAlignment="1"/>
    <xf numFmtId="0" fontId="2" fillId="0" borderId="41" xfId="0" applyFont="1" applyBorder="1" applyAlignment="1">
      <alignment horizontal="center"/>
    </xf>
    <xf numFmtId="166" fontId="0" fillId="0" borderId="42" xfId="3" applyNumberFormat="1" applyFont="1" applyBorder="1" applyAlignment="1"/>
    <xf numFmtId="170" fontId="0" fillId="0" borderId="43" xfId="0" applyNumberFormat="1" applyBorder="1" applyAlignment="1"/>
    <xf numFmtId="170" fontId="0" fillId="0" borderId="5" xfId="0" applyNumberFormat="1" applyFill="1" applyBorder="1"/>
    <xf numFmtId="0" fontId="2" fillId="0" borderId="77" xfId="0" applyFont="1" applyBorder="1" applyAlignment="1">
      <alignment horizontal="center"/>
    </xf>
    <xf numFmtId="184" fontId="2" fillId="0" borderId="7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66" fontId="2" fillId="0" borderId="42" xfId="0" applyNumberFormat="1" applyFont="1" applyBorder="1" applyAlignment="1">
      <alignment horizontal="center"/>
    </xf>
    <xf numFmtId="170" fontId="2" fillId="0" borderId="42" xfId="0" applyNumberFormat="1" applyFont="1" applyBorder="1" applyAlignment="1">
      <alignment horizontal="center"/>
    </xf>
    <xf numFmtId="169" fontId="2" fillId="0" borderId="43" xfId="0" applyNumberFormat="1" applyFont="1" applyBorder="1" applyAlignment="1">
      <alignment horizontal="center"/>
    </xf>
    <xf numFmtId="184" fontId="2" fillId="0" borderId="0" xfId="0" applyNumberFormat="1" applyFont="1" applyBorder="1" applyAlignment="1">
      <alignment horizontal="center"/>
    </xf>
    <xf numFmtId="0" fontId="0" fillId="0" borderId="79" xfId="0" applyBorder="1" applyAlignment="1"/>
    <xf numFmtId="0" fontId="0" fillId="0" borderId="80" xfId="0" applyBorder="1" applyAlignment="1"/>
    <xf numFmtId="0" fontId="2" fillId="0" borderId="0" xfId="0" applyFont="1" applyBorder="1" applyAlignment="1"/>
    <xf numFmtId="0" fontId="53" fillId="0" borderId="44" xfId="0" applyFont="1" applyBorder="1"/>
    <xf numFmtId="165" fontId="53" fillId="0" borderId="6" xfId="0" applyNumberFormat="1" applyFont="1" applyBorder="1"/>
    <xf numFmtId="165" fontId="53" fillId="0" borderId="47" xfId="0" applyNumberFormat="1" applyFont="1" applyBorder="1"/>
    <xf numFmtId="165" fontId="53" fillId="0" borderId="45" xfId="0" applyNumberFormat="1" applyFont="1" applyBorder="1"/>
    <xf numFmtId="0" fontId="53" fillId="0" borderId="6" xfId="0" applyFont="1" applyBorder="1"/>
    <xf numFmtId="0" fontId="53" fillId="0" borderId="47" xfId="0" applyFont="1" applyBorder="1"/>
    <xf numFmtId="0" fontId="53" fillId="0" borderId="45" xfId="0" applyFont="1" applyBorder="1"/>
    <xf numFmtId="165" fontId="53" fillId="0" borderId="5" xfId="0" applyNumberFormat="1" applyFont="1" applyBorder="1"/>
    <xf numFmtId="165" fontId="53" fillId="0" borderId="20" xfId="0" applyNumberFormat="1" applyFont="1" applyBorder="1"/>
    <xf numFmtId="165" fontId="53" fillId="0" borderId="40" xfId="0" applyNumberFormat="1" applyFont="1" applyBorder="1"/>
    <xf numFmtId="0" fontId="51" fillId="0" borderId="4" xfId="0" applyFont="1" applyBorder="1"/>
    <xf numFmtId="165" fontId="51" fillId="0" borderId="5" xfId="0" applyNumberFormat="1" applyFont="1" applyBorder="1"/>
    <xf numFmtId="165" fontId="51" fillId="0" borderId="40" xfId="0" applyNumberFormat="1" applyFont="1" applyBorder="1"/>
    <xf numFmtId="0" fontId="51" fillId="0" borderId="20" xfId="0" applyFont="1" applyBorder="1"/>
    <xf numFmtId="0" fontId="51" fillId="0" borderId="40" xfId="0" applyFont="1" applyBorder="1"/>
    <xf numFmtId="165" fontId="51" fillId="0" borderId="20" xfId="0" applyNumberFormat="1" applyFont="1" applyBorder="1"/>
    <xf numFmtId="165" fontId="51" fillId="0" borderId="57" xfId="0" applyNumberFormat="1" applyFont="1" applyBorder="1"/>
    <xf numFmtId="165" fontId="51" fillId="0" borderId="58" xfId="0" applyNumberFormat="1" applyFont="1" applyBorder="1"/>
    <xf numFmtId="0" fontId="51" fillId="0" borderId="56" xfId="0" applyFont="1" applyBorder="1"/>
    <xf numFmtId="165" fontId="51" fillId="0" borderId="59" xfId="0" applyNumberFormat="1" applyFont="1" applyBorder="1"/>
    <xf numFmtId="0" fontId="51" fillId="0" borderId="57" xfId="0" applyFont="1" applyBorder="1"/>
    <xf numFmtId="0" fontId="51" fillId="0" borderId="58" xfId="0" applyFont="1" applyBorder="1"/>
    <xf numFmtId="0" fontId="51" fillId="0" borderId="59" xfId="0" applyFont="1" applyBorder="1"/>
    <xf numFmtId="0" fontId="51" fillId="34" borderId="4" xfId="0" applyFont="1" applyFill="1" applyBorder="1"/>
    <xf numFmtId="165" fontId="51" fillId="34" borderId="57" xfId="0" applyNumberFormat="1" applyFont="1" applyFill="1" applyBorder="1"/>
    <xf numFmtId="165" fontId="51" fillId="34" borderId="58" xfId="0" applyNumberFormat="1" applyFont="1" applyFill="1" applyBorder="1"/>
    <xf numFmtId="0" fontId="51" fillId="34" borderId="56" xfId="0" applyFont="1" applyFill="1" applyBorder="1"/>
    <xf numFmtId="165" fontId="51" fillId="34" borderId="59" xfId="0" applyNumberFormat="1" applyFont="1" applyFill="1" applyBorder="1"/>
    <xf numFmtId="0" fontId="51" fillId="34" borderId="57" xfId="0" applyFont="1" applyFill="1" applyBorder="1"/>
    <xf numFmtId="0" fontId="51" fillId="34" borderId="58" xfId="0" applyFont="1" applyFill="1" applyBorder="1"/>
    <xf numFmtId="0" fontId="51" fillId="34" borderId="59" xfId="0" applyFont="1" applyFill="1" applyBorder="1"/>
    <xf numFmtId="0" fontId="51" fillId="34" borderId="41" xfId="0" applyFont="1" applyFill="1" applyBorder="1"/>
    <xf numFmtId="165" fontId="51" fillId="34" borderId="42" xfId="0" applyNumberFormat="1" applyFont="1" applyFill="1" applyBorder="1"/>
    <xf numFmtId="165" fontId="51" fillId="34" borderId="46" xfId="0" applyNumberFormat="1" applyFont="1" applyFill="1" applyBorder="1"/>
    <xf numFmtId="165" fontId="51" fillId="34" borderId="43" xfId="0" applyNumberFormat="1" applyFont="1" applyFill="1" applyBorder="1"/>
    <xf numFmtId="0" fontId="51" fillId="34" borderId="42" xfId="0" applyFont="1" applyFill="1" applyBorder="1"/>
    <xf numFmtId="0" fontId="51" fillId="34" borderId="46" xfId="0" applyFont="1" applyFill="1" applyBorder="1"/>
    <xf numFmtId="0" fontId="51" fillId="34" borderId="43" xfId="0" applyFont="1" applyFill="1" applyBorder="1"/>
    <xf numFmtId="179" fontId="29" fillId="0" borderId="61" xfId="0" applyNumberFormat="1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179" fontId="29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61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179" fontId="10" fillId="72" borderId="61" xfId="0" applyNumberFormat="1" applyFont="1" applyFill="1" applyBorder="1" applyAlignment="1">
      <alignment horizontal="center" vertical="center" wrapText="1"/>
    </xf>
    <xf numFmtId="179" fontId="55" fillId="0" borderId="61" xfId="0" applyNumberFormat="1" applyFont="1" applyBorder="1" applyAlignment="1">
      <alignment horizontal="center" vertical="center" wrapText="1"/>
    </xf>
    <xf numFmtId="179" fontId="10" fillId="0" borderId="61" xfId="0" applyNumberFormat="1" applyFont="1" applyBorder="1" applyAlignment="1">
      <alignment horizontal="center" vertical="center" wrapText="1"/>
    </xf>
    <xf numFmtId="169" fontId="10" fillId="0" borderId="61" xfId="0" applyNumberFormat="1" applyFont="1" applyBorder="1" applyAlignment="1">
      <alignment horizontal="center" vertical="center" wrapText="1"/>
    </xf>
    <xf numFmtId="9" fontId="3" fillId="0" borderId="5" xfId="4" applyFont="1" applyFill="1" applyBorder="1"/>
    <xf numFmtId="180" fontId="3" fillId="0" borderId="0" xfId="0" applyNumberFormat="1" applyFont="1" applyFill="1" applyBorder="1"/>
    <xf numFmtId="44" fontId="4" fillId="0" borderId="5" xfId="1" applyFont="1" applyFill="1" applyBorder="1" applyAlignment="1">
      <alignment horizontal="center" vertical="center"/>
    </xf>
    <xf numFmtId="168" fontId="10" fillId="0" borderId="5" xfId="0" applyNumberFormat="1" applyFont="1" applyFill="1" applyBorder="1"/>
    <xf numFmtId="1" fontId="3" fillId="0" borderId="5" xfId="0" applyNumberFormat="1" applyFont="1" applyFill="1" applyBorder="1"/>
    <xf numFmtId="169" fontId="10" fillId="0" borderId="5" xfId="1" applyNumberFormat="1" applyFont="1" applyFill="1" applyBorder="1"/>
    <xf numFmtId="169" fontId="3" fillId="0" borderId="5" xfId="0" applyNumberFormat="1" applyFont="1" applyFill="1" applyBorder="1"/>
    <xf numFmtId="169" fontId="3" fillId="0" borderId="7" xfId="0" applyNumberFormat="1" applyFont="1" applyFill="1" applyBorder="1"/>
    <xf numFmtId="0" fontId="3" fillId="0" borderId="7" xfId="1" applyNumberFormat="1" applyFont="1" applyFill="1" applyBorder="1"/>
    <xf numFmtId="170" fontId="10" fillId="0" borderId="5" xfId="0" applyNumberFormat="1" applyFont="1" applyFill="1" applyBorder="1"/>
    <xf numFmtId="0" fontId="10" fillId="0" borderId="5" xfId="0" applyFont="1" applyFill="1" applyBorder="1"/>
    <xf numFmtId="180" fontId="10" fillId="0" borderId="5" xfId="0" applyNumberFormat="1" applyFont="1" applyFill="1" applyBorder="1"/>
    <xf numFmtId="180" fontId="10" fillId="0" borderId="5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44" fontId="3" fillId="0" borderId="5" xfId="1" applyFont="1" applyFill="1" applyBorder="1"/>
    <xf numFmtId="170" fontId="3" fillId="0" borderId="5" xfId="0" applyNumberFormat="1" applyFont="1" applyFill="1" applyBorder="1"/>
    <xf numFmtId="0" fontId="56" fillId="73" borderId="2" xfId="0" applyFont="1" applyFill="1" applyBorder="1" applyAlignment="1">
      <alignment horizontal="center" vertical="center" wrapText="1"/>
    </xf>
    <xf numFmtId="0" fontId="56" fillId="73" borderId="39" xfId="0" applyFont="1" applyFill="1" applyBorder="1" applyAlignment="1">
      <alignment horizontal="center" vertical="center" wrapText="1"/>
    </xf>
    <xf numFmtId="165" fontId="0" fillId="0" borderId="0" xfId="0" applyNumberFormat="1"/>
    <xf numFmtId="169" fontId="0" fillId="0" borderId="0" xfId="0" applyNumberFormat="1"/>
    <xf numFmtId="0" fontId="0" fillId="0" borderId="0" xfId="0" applyAlignment="1">
      <alignment wrapText="1"/>
    </xf>
    <xf numFmtId="10" fontId="0" fillId="0" borderId="0" xfId="4" applyNumberFormat="1" applyFont="1"/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0" fillId="0" borderId="5" xfId="0" applyNumberFormat="1" applyBorder="1"/>
    <xf numFmtId="166" fontId="2" fillId="0" borderId="5" xfId="3" applyNumberFormat="1" applyFont="1" applyBorder="1"/>
    <xf numFmtId="170" fontId="2" fillId="0" borderId="5" xfId="3" applyNumberFormat="1" applyFont="1" applyBorder="1"/>
    <xf numFmtId="0" fontId="75" fillId="85" borderId="0" xfId="0" applyFont="1" applyFill="1"/>
    <xf numFmtId="0" fontId="76" fillId="85" borderId="0" xfId="0" applyFont="1" applyFill="1"/>
    <xf numFmtId="0" fontId="77" fillId="86" borderId="82" xfId="0" applyFont="1" applyFill="1" applyBorder="1" applyAlignment="1">
      <alignment horizontal="center" wrapText="1"/>
    </xf>
    <xf numFmtId="0" fontId="73" fillId="85" borderId="82" xfId="0" applyFont="1" applyFill="1" applyBorder="1" applyAlignment="1">
      <alignment horizontal="left" wrapText="1"/>
    </xf>
    <xf numFmtId="0" fontId="73" fillId="85" borderId="82" xfId="0" applyFont="1" applyFill="1" applyBorder="1" applyAlignment="1">
      <alignment horizontal="right" wrapText="1"/>
    </xf>
    <xf numFmtId="1" fontId="0" fillId="0" borderId="0" xfId="0" applyNumberFormat="1"/>
    <xf numFmtId="164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78" fillId="82" borderId="52" xfId="0" applyFont="1" applyFill="1" applyBorder="1" applyAlignment="1">
      <alignment horizontal="center" vertical="center"/>
    </xf>
    <xf numFmtId="0" fontId="79" fillId="82" borderId="50" xfId="0" applyFont="1" applyFill="1" applyBorder="1" applyAlignment="1">
      <alignment horizontal="center" vertical="center"/>
    </xf>
    <xf numFmtId="178" fontId="78" fillId="82" borderId="39" xfId="4" applyNumberFormat="1" applyFont="1" applyFill="1" applyBorder="1" applyAlignment="1">
      <alignment horizontal="center"/>
    </xf>
    <xf numFmtId="178" fontId="78" fillId="82" borderId="40" xfId="4" applyNumberFormat="1" applyFont="1" applyFill="1" applyBorder="1" applyAlignment="1">
      <alignment horizontal="center"/>
    </xf>
    <xf numFmtId="178" fontId="80" fillId="82" borderId="43" xfId="4" applyNumberFormat="1" applyFont="1" applyFill="1" applyBorder="1" applyAlignment="1">
      <alignment horizontal="center"/>
    </xf>
    <xf numFmtId="0" fontId="0" fillId="0" borderId="20" xfId="0" applyBorder="1"/>
    <xf numFmtId="0" fontId="0" fillId="0" borderId="91" xfId="0" applyBorder="1"/>
    <xf numFmtId="9" fontId="0" fillId="0" borderId="5" xfId="4" applyFon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91" xfId="0" applyBorder="1" applyAlignment="1">
      <alignment horizontal="center"/>
    </xf>
    <xf numFmtId="1" fontId="0" fillId="0" borderId="5" xfId="0" applyNumberFormat="1" applyBorder="1"/>
    <xf numFmtId="1" fontId="0" fillId="0" borderId="5" xfId="0" applyNumberForma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0" fillId="0" borderId="20" xfId="0" applyNumberFormat="1" applyBorder="1"/>
    <xf numFmtId="165" fontId="0" fillId="0" borderId="5" xfId="0" applyNumberFormat="1" applyBorder="1" applyAlignment="1">
      <alignment horizontal="center"/>
    </xf>
    <xf numFmtId="0" fontId="81" fillId="0" borderId="0" xfId="161" applyFont="1" applyAlignment="1">
      <alignment vertical="center"/>
    </xf>
    <xf numFmtId="0" fontId="82" fillId="0" borderId="0" xfId="161" applyFont="1" applyAlignment="1">
      <alignment vertical="center"/>
    </xf>
    <xf numFmtId="3" fontId="83" fillId="0" borderId="93" xfId="161" applyNumberFormat="1" applyFont="1" applyBorder="1" applyAlignment="1">
      <alignment horizontal="center" vertical="center"/>
    </xf>
    <xf numFmtId="0" fontId="81" fillId="0" borderId="0" xfId="161" applyFont="1" applyAlignment="1">
      <alignment horizontal="center" vertical="center"/>
    </xf>
    <xf numFmtId="185" fontId="83" fillId="0" borderId="94" xfId="476" applyFont="1" applyBorder="1" applyAlignment="1">
      <alignment horizontal="center" vertical="center"/>
    </xf>
    <xf numFmtId="3" fontId="81" fillId="0" borderId="0" xfId="161" applyNumberFormat="1" applyFont="1" applyAlignment="1">
      <alignment vertical="center"/>
    </xf>
    <xf numFmtId="185" fontId="81" fillId="0" borderId="0" xfId="476" applyFont="1" applyAlignment="1">
      <alignment vertical="center"/>
    </xf>
    <xf numFmtId="0" fontId="83" fillId="0" borderId="95" xfId="161" applyFont="1" applyBorder="1" applyAlignment="1">
      <alignment horizontal="center" vertical="center"/>
    </xf>
    <xf numFmtId="186" fontId="83" fillId="0" borderId="96" xfId="161" applyNumberFormat="1" applyFont="1" applyBorder="1" applyAlignment="1">
      <alignment horizontal="center" vertical="center"/>
    </xf>
    <xf numFmtId="3" fontId="81" fillId="0" borderId="0" xfId="161" applyNumberFormat="1" applyFont="1" applyAlignment="1">
      <alignment horizontal="center" vertical="center"/>
    </xf>
    <xf numFmtId="14" fontId="81" fillId="0" borderId="0" xfId="161" applyNumberFormat="1" applyFont="1" applyAlignment="1">
      <alignment horizontal="left" vertical="center"/>
    </xf>
    <xf numFmtId="0" fontId="81" fillId="0" borderId="0" xfId="161" applyFont="1" applyAlignment="1">
      <alignment vertical="center" wrapText="1"/>
    </xf>
    <xf numFmtId="0" fontId="81" fillId="0" borderId="101" xfId="161" applyFont="1" applyBorder="1" applyAlignment="1">
      <alignment horizontal="center" vertical="center"/>
    </xf>
    <xf numFmtId="185" fontId="81" fillId="0" borderId="101" xfId="476" applyFont="1" applyBorder="1" applyAlignment="1">
      <alignment vertical="center"/>
    </xf>
    <xf numFmtId="185" fontId="81" fillId="0" borderId="102" xfId="476" applyFont="1" applyBorder="1" applyAlignment="1">
      <alignment vertical="center"/>
    </xf>
    <xf numFmtId="0" fontId="81" fillId="0" borderId="0" xfId="199" applyFont="1"/>
    <xf numFmtId="0" fontId="84" fillId="0" borderId="101" xfId="161" applyFont="1" applyBorder="1" applyAlignment="1">
      <alignment vertical="center"/>
    </xf>
    <xf numFmtId="0" fontId="10" fillId="0" borderId="101" xfId="161" applyBorder="1" applyAlignment="1">
      <alignment vertical="center" wrapText="1"/>
    </xf>
    <xf numFmtId="1" fontId="51" fillId="0" borderId="4" xfId="0" applyNumberFormat="1" applyFont="1" applyBorder="1"/>
    <xf numFmtId="0" fontId="0" fillId="0" borderId="54" xfId="0" applyFont="1" applyBorder="1"/>
    <xf numFmtId="1" fontId="51" fillId="0" borderId="5" xfId="0" applyNumberFormat="1" applyFont="1" applyBorder="1"/>
    <xf numFmtId="1" fontId="51" fillId="0" borderId="40" xfId="0" applyNumberFormat="1" applyFont="1" applyBorder="1"/>
    <xf numFmtId="1" fontId="51" fillId="0" borderId="20" xfId="0" applyNumberFormat="1" applyFont="1" applyBorder="1"/>
    <xf numFmtId="0" fontId="53" fillId="2" borderId="4" xfId="0" applyFont="1" applyFill="1" applyBorder="1"/>
    <xf numFmtId="165" fontId="53" fillId="2" borderId="5" xfId="0" applyNumberFormat="1" applyFont="1" applyFill="1" applyBorder="1"/>
    <xf numFmtId="165" fontId="53" fillId="2" borderId="20" xfId="0" applyNumberFormat="1" applyFont="1" applyFill="1" applyBorder="1"/>
    <xf numFmtId="165" fontId="53" fillId="2" borderId="40" xfId="0" applyNumberFormat="1" applyFont="1" applyFill="1" applyBorder="1"/>
    <xf numFmtId="0" fontId="53" fillId="2" borderId="5" xfId="0" applyFont="1" applyFill="1" applyBorder="1"/>
    <xf numFmtId="0" fontId="53" fillId="2" borderId="20" xfId="0" applyFont="1" applyFill="1" applyBorder="1"/>
    <xf numFmtId="0" fontId="53" fillId="2" borderId="4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8" fontId="78" fillId="82" borderId="107" xfId="4" applyNumberFormat="1" applyFont="1" applyFill="1" applyBorder="1" applyAlignment="1">
      <alignment horizontal="center"/>
    </xf>
    <xf numFmtId="0" fontId="0" fillId="0" borderId="108" xfId="0" applyBorder="1"/>
    <xf numFmtId="0" fontId="0" fillId="0" borderId="109" xfId="0" applyBorder="1"/>
    <xf numFmtId="0" fontId="0" fillId="0" borderId="110" xfId="0" applyBorder="1"/>
    <xf numFmtId="179" fontId="10" fillId="72" borderId="111" xfId="0" applyNumberFormat="1" applyFont="1" applyFill="1" applyBorder="1" applyAlignment="1">
      <alignment horizontal="center" vertical="center" wrapText="1"/>
    </xf>
    <xf numFmtId="179" fontId="10" fillId="72" borderId="89" xfId="0" applyNumberFormat="1" applyFont="1" applyFill="1" applyBorder="1" applyAlignment="1">
      <alignment horizontal="center" vertical="center" wrapText="1"/>
    </xf>
    <xf numFmtId="2" fontId="29" fillId="0" borderId="42" xfId="0" applyNumberFormat="1" applyFont="1" applyBorder="1" applyAlignment="1">
      <alignment horizontal="center" vertical="center" wrapText="1"/>
    </xf>
    <xf numFmtId="165" fontId="51" fillId="0" borderId="5" xfId="0" applyNumberFormat="1" applyFont="1" applyFill="1" applyBorder="1" applyAlignment="1">
      <alignment horizontal="center" wrapText="1"/>
    </xf>
    <xf numFmtId="0" fontId="51" fillId="0" borderId="111" xfId="0" applyFont="1" applyBorder="1" applyAlignment="1">
      <alignment wrapText="1"/>
    </xf>
    <xf numFmtId="2" fontId="29" fillId="0" borderId="81" xfId="0" applyNumberFormat="1" applyFont="1" applyBorder="1" applyAlignment="1">
      <alignment horizontal="center" vertical="center" wrapText="1"/>
    </xf>
    <xf numFmtId="0" fontId="81" fillId="0" borderId="112" xfId="161" applyFont="1" applyBorder="1" applyAlignment="1">
      <alignment vertical="center"/>
    </xf>
    <xf numFmtId="0" fontId="81" fillId="0" borderId="113" xfId="161" applyFont="1" applyBorder="1" applyAlignment="1">
      <alignment vertical="center"/>
    </xf>
    <xf numFmtId="49" fontId="10" fillId="0" borderId="113" xfId="161" applyNumberFormat="1" applyBorder="1" applyAlignment="1">
      <alignment vertical="center"/>
    </xf>
    <xf numFmtId="3" fontId="81" fillId="0" borderId="113" xfId="161" quotePrefix="1" applyNumberFormat="1" applyFont="1" applyBorder="1" applyAlignment="1">
      <alignment horizontal="right" vertical="center"/>
    </xf>
    <xf numFmtId="0" fontId="81" fillId="0" borderId="113" xfId="161" applyFont="1" applyBorder="1" applyAlignment="1">
      <alignment horizontal="center" vertical="center"/>
    </xf>
    <xf numFmtId="185" fontId="81" fillId="0" borderId="113" xfId="476" applyFont="1" applyBorder="1" applyAlignment="1">
      <alignment vertical="center"/>
    </xf>
    <xf numFmtId="44" fontId="81" fillId="0" borderId="114" xfId="91" applyFont="1" applyBorder="1" applyAlignment="1">
      <alignment vertical="center"/>
    </xf>
    <xf numFmtId="0" fontId="10" fillId="0" borderId="113" xfId="161" applyBorder="1" applyAlignment="1">
      <alignment vertical="center" wrapText="1"/>
    </xf>
    <xf numFmtId="3" fontId="81" fillId="0" borderId="113" xfId="161" applyNumberFormat="1" applyFont="1" applyBorder="1" applyAlignment="1">
      <alignment vertical="center"/>
    </xf>
    <xf numFmtId="44" fontId="10" fillId="0" borderId="5" xfId="1" applyFont="1" applyFill="1" applyBorder="1" applyAlignment="1">
      <alignment horizontal="center"/>
    </xf>
    <xf numFmtId="0" fontId="51" fillId="0" borderId="5" xfId="0" applyFont="1" applyFill="1" applyBorder="1" applyAlignment="1">
      <alignment horizontal="center"/>
    </xf>
    <xf numFmtId="9" fontId="51" fillId="0" borderId="111" xfId="4" applyFont="1" applyFill="1" applyBorder="1" applyAlignment="1">
      <alignment horizontal="center"/>
    </xf>
    <xf numFmtId="179" fontId="55" fillId="88" borderId="4" xfId="0" applyNumberFormat="1" applyFont="1" applyFill="1" applyBorder="1" applyAlignment="1">
      <alignment horizontal="right" vertical="center" wrapText="1"/>
    </xf>
    <xf numFmtId="179" fontId="55" fillId="88" borderId="5" xfId="0" applyNumberFormat="1" applyFont="1" applyFill="1" applyBorder="1" applyAlignment="1">
      <alignment horizontal="center" vertical="center" wrapText="1"/>
    </xf>
    <xf numFmtId="179" fontId="55" fillId="88" borderId="61" xfId="0" applyNumberFormat="1" applyFont="1" applyFill="1" applyBorder="1" applyAlignment="1">
      <alignment horizontal="center" vertical="center" wrapText="1"/>
    </xf>
    <xf numFmtId="0" fontId="55" fillId="88" borderId="4" xfId="0" applyFont="1" applyFill="1" applyBorder="1" applyAlignment="1">
      <alignment horizontal="right" vertical="center" wrapText="1"/>
    </xf>
    <xf numFmtId="14" fontId="81" fillId="0" borderId="0" xfId="161" applyNumberFormat="1" applyFont="1" applyAlignment="1">
      <alignment horizontal="center" vertical="center"/>
    </xf>
    <xf numFmtId="0" fontId="81" fillId="0" borderId="0" xfId="161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111" xfId="0" applyBorder="1" applyAlignment="1">
      <alignment horizontal="center"/>
    </xf>
    <xf numFmtId="0" fontId="0" fillId="0" borderId="111" xfId="0" applyBorder="1"/>
    <xf numFmtId="0" fontId="0" fillId="80" borderId="111" xfId="0" applyFill="1" applyBorder="1" applyAlignment="1">
      <alignment horizontal="center"/>
    </xf>
    <xf numFmtId="0" fontId="0" fillId="80" borderId="111" xfId="0" applyFill="1" applyBorder="1"/>
    <xf numFmtId="169" fontId="0" fillId="0" borderId="111" xfId="0" applyNumberFormat="1" applyBorder="1" applyAlignment="1">
      <alignment horizontal="center"/>
    </xf>
    <xf numFmtId="169" fontId="0" fillId="0" borderId="0" xfId="0" applyNumberFormat="1"/>
    <xf numFmtId="169" fontId="51" fillId="0" borderId="111" xfId="0" applyNumberFormat="1" applyFont="1" applyBorder="1" applyAlignment="1">
      <alignment horizontal="center"/>
    </xf>
    <xf numFmtId="0" fontId="51" fillId="80" borderId="111" xfId="0" applyFont="1" applyFill="1" applyBorder="1" applyAlignment="1">
      <alignment horizontal="center"/>
    </xf>
    <xf numFmtId="169" fontId="24" fillId="0" borderId="0" xfId="0" applyNumberFormat="1" applyFont="1" applyBorder="1"/>
    <xf numFmtId="0" fontId="0" fillId="0" borderId="117" xfId="0" applyBorder="1" applyAlignment="1">
      <alignment horizontal="center"/>
    </xf>
    <xf numFmtId="44" fontId="0" fillId="0" borderId="118" xfId="1" applyFont="1" applyBorder="1"/>
    <xf numFmtId="0" fontId="0" fillId="89" borderId="117" xfId="0" applyFill="1" applyBorder="1" applyAlignment="1">
      <alignment horizontal="center"/>
    </xf>
    <xf numFmtId="44" fontId="0" fillId="89" borderId="118" xfId="1" applyFont="1" applyFill="1" applyBorder="1"/>
    <xf numFmtId="0" fontId="0" fillId="0" borderId="115" xfId="0" applyBorder="1" applyAlignment="1">
      <alignment horizontal="center"/>
    </xf>
    <xf numFmtId="44" fontId="0" fillId="0" borderId="116" xfId="1" applyFont="1" applyBorder="1"/>
    <xf numFmtId="0" fontId="83" fillId="0" borderId="97" xfId="161" applyFont="1" applyFill="1" applyBorder="1" applyAlignment="1">
      <alignment horizontal="center" vertical="center" wrapText="1"/>
    </xf>
    <xf numFmtId="0" fontId="83" fillId="0" borderId="98" xfId="161" applyFont="1" applyFill="1" applyBorder="1" applyAlignment="1">
      <alignment horizontal="center" vertical="center" wrapText="1"/>
    </xf>
    <xf numFmtId="3" fontId="83" fillId="0" borderId="98" xfId="161" applyNumberFormat="1" applyFont="1" applyFill="1" applyBorder="1" applyAlignment="1">
      <alignment horizontal="center" vertical="center" wrapText="1"/>
    </xf>
    <xf numFmtId="185" fontId="83" fillId="0" borderId="99" xfId="476" applyFont="1" applyFill="1" applyBorder="1" applyAlignment="1">
      <alignment horizontal="center" vertical="center" wrapText="1"/>
    </xf>
    <xf numFmtId="0" fontId="81" fillId="0" borderId="0" xfId="161" applyFont="1" applyFill="1" applyAlignment="1">
      <alignment vertical="center" wrapText="1"/>
    </xf>
    <xf numFmtId="0" fontId="81" fillId="0" borderId="100" xfId="161" applyFont="1" applyFill="1" applyBorder="1" applyAlignment="1">
      <alignment vertical="center"/>
    </xf>
    <xf numFmtId="0" fontId="81" fillId="0" borderId="101" xfId="161" applyFont="1" applyFill="1" applyBorder="1" applyAlignment="1">
      <alignment vertical="center"/>
    </xf>
    <xf numFmtId="3" fontId="81" fillId="0" borderId="101" xfId="161" applyNumberFormat="1" applyFont="1" applyFill="1" applyBorder="1" applyAlignment="1">
      <alignment vertical="center"/>
    </xf>
    <xf numFmtId="0" fontId="81" fillId="0" borderId="101" xfId="161" applyFont="1" applyFill="1" applyBorder="1" applyAlignment="1">
      <alignment horizontal="center" vertical="center"/>
    </xf>
    <xf numFmtId="185" fontId="81" fillId="0" borderId="101" xfId="476" applyFont="1" applyFill="1" applyBorder="1" applyAlignment="1">
      <alignment vertical="center"/>
    </xf>
    <xf numFmtId="185" fontId="81" fillId="0" borderId="102" xfId="476" applyFont="1" applyFill="1" applyBorder="1" applyAlignment="1">
      <alignment vertical="center"/>
    </xf>
    <xf numFmtId="0" fontId="81" fillId="0" borderId="0" xfId="161" applyFont="1" applyFill="1" applyAlignment="1">
      <alignment vertical="center"/>
    </xf>
    <xf numFmtId="0" fontId="81" fillId="0" borderId="101" xfId="47" applyFont="1" applyFill="1" applyBorder="1" applyAlignment="1">
      <alignment vertical="center"/>
    </xf>
    <xf numFmtId="49" fontId="81" fillId="0" borderId="101" xfId="161" applyNumberFormat="1" applyFont="1" applyFill="1" applyBorder="1" applyAlignment="1">
      <alignment vertical="center"/>
    </xf>
    <xf numFmtId="44" fontId="81" fillId="0" borderId="101" xfId="91" applyFont="1" applyFill="1" applyBorder="1" applyAlignment="1">
      <alignment vertical="center"/>
    </xf>
    <xf numFmtId="44" fontId="81" fillId="0" borderId="102" xfId="91" applyFont="1" applyFill="1" applyBorder="1" applyAlignment="1">
      <alignment vertical="center"/>
    </xf>
    <xf numFmtId="0" fontId="81" fillId="0" borderId="100" xfId="0" applyFont="1" applyFill="1" applyBorder="1"/>
    <xf numFmtId="0" fontId="81" fillId="0" borderId="101" xfId="0" applyFont="1" applyFill="1" applyBorder="1"/>
    <xf numFmtId="3" fontId="81" fillId="0" borderId="101" xfId="0" applyNumberFormat="1" applyFont="1" applyFill="1" applyBorder="1"/>
    <xf numFmtId="0" fontId="81" fillId="0" borderId="101" xfId="0" applyFont="1" applyFill="1" applyBorder="1" applyAlignment="1">
      <alignment horizontal="center"/>
    </xf>
    <xf numFmtId="44" fontId="81" fillId="0" borderId="101" xfId="91" applyFont="1" applyFill="1" applyBorder="1"/>
    <xf numFmtId="44" fontId="81" fillId="0" borderId="102" xfId="91" applyFont="1" applyFill="1" applyBorder="1"/>
    <xf numFmtId="0" fontId="81" fillId="0" borderId="0" xfId="0" applyFont="1" applyFill="1"/>
    <xf numFmtId="0" fontId="81" fillId="0" borderId="101" xfId="161" quotePrefix="1" applyFont="1" applyFill="1" applyBorder="1" applyAlignment="1">
      <alignment vertical="center"/>
    </xf>
    <xf numFmtId="187" fontId="81" fillId="0" borderId="101" xfId="161" applyNumberFormat="1" applyFont="1" applyFill="1" applyBorder="1" applyAlignment="1">
      <alignment vertical="center"/>
    </xf>
    <xf numFmtId="0" fontId="81" fillId="0" borderId="101" xfId="161" quotePrefix="1" applyFont="1" applyFill="1" applyBorder="1" applyAlignment="1">
      <alignment vertical="center" wrapText="1"/>
    </xf>
    <xf numFmtId="3" fontId="81" fillId="0" borderId="101" xfId="161" applyNumberFormat="1" applyFont="1" applyFill="1" applyBorder="1" applyAlignment="1">
      <alignment horizontal="right" vertical="center"/>
    </xf>
    <xf numFmtId="0" fontId="81" fillId="0" borderId="101" xfId="161" applyFont="1" applyFill="1" applyBorder="1" applyAlignment="1">
      <alignment vertical="center" wrapText="1"/>
    </xf>
    <xf numFmtId="0" fontId="82" fillId="0" borderId="0" xfId="161" applyFont="1" applyFill="1" applyAlignment="1">
      <alignment horizontal="center" vertical="center"/>
    </xf>
    <xf numFmtId="185" fontId="81" fillId="0" borderId="0" xfId="161" applyNumberFormat="1" applyFont="1" applyFill="1" applyAlignment="1">
      <alignment vertical="center"/>
    </xf>
    <xf numFmtId="188" fontId="81" fillId="0" borderId="101" xfId="161" applyNumberFormat="1" applyFont="1" applyFill="1" applyBorder="1" applyAlignment="1">
      <alignment vertical="center"/>
    </xf>
    <xf numFmtId="49" fontId="82" fillId="0" borderId="101" xfId="161" applyNumberFormat="1" applyFont="1" applyFill="1" applyBorder="1" applyAlignment="1">
      <alignment vertical="center"/>
    </xf>
    <xf numFmtId="49" fontId="10" fillId="0" borderId="101" xfId="161" applyNumberFormat="1" applyFill="1" applyBorder="1" applyAlignment="1">
      <alignment vertical="center"/>
    </xf>
    <xf numFmtId="3" fontId="81" fillId="0" borderId="101" xfId="161" quotePrefix="1" applyNumberFormat="1" applyFont="1" applyFill="1" applyBorder="1" applyAlignment="1">
      <alignment horizontal="right" vertical="center"/>
    </xf>
    <xf numFmtId="4" fontId="81" fillId="0" borderId="101" xfId="161" applyNumberFormat="1" applyFont="1" applyFill="1" applyBorder="1" applyAlignment="1">
      <alignment vertical="center"/>
    </xf>
    <xf numFmtId="0" fontId="84" fillId="0" borderId="101" xfId="161" applyFont="1" applyFill="1" applyBorder="1" applyAlignment="1">
      <alignment vertical="center"/>
    </xf>
    <xf numFmtId="0" fontId="81" fillId="0" borderId="101" xfId="47" applyFont="1" applyFill="1" applyBorder="1"/>
    <xf numFmtId="0" fontId="0" fillId="0" borderId="101" xfId="0" applyFill="1" applyBorder="1" applyAlignment="1">
      <alignment wrapText="1"/>
    </xf>
    <xf numFmtId="3" fontId="81" fillId="0" borderId="101" xfId="161" applyNumberFormat="1" applyFont="1" applyFill="1" applyBorder="1" applyAlignment="1">
      <alignment horizontal="center" vertical="center"/>
    </xf>
    <xf numFmtId="185" fontId="81" fillId="0" borderId="101" xfId="476" applyFont="1" applyFill="1" applyBorder="1" applyAlignment="1">
      <alignment horizontal="center" vertical="center"/>
    </xf>
    <xf numFmtId="185" fontId="81" fillId="0" borderId="102" xfId="476" applyFont="1" applyFill="1" applyBorder="1" applyAlignment="1">
      <alignment horizontal="center" vertical="center"/>
    </xf>
    <xf numFmtId="0" fontId="10" fillId="0" borderId="101" xfId="161" applyFill="1" applyBorder="1" applyAlignment="1">
      <alignment vertical="center" wrapText="1"/>
    </xf>
    <xf numFmtId="44" fontId="81" fillId="0" borderId="103" xfId="88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88" applyNumberFormat="1" applyFont="1" applyFill="1" applyAlignment="1">
      <alignment vertical="center"/>
    </xf>
    <xf numFmtId="0" fontId="81" fillId="0" borderId="104" xfId="161" applyFont="1" applyFill="1" applyBorder="1" applyAlignment="1">
      <alignment vertical="center"/>
    </xf>
    <xf numFmtId="0" fontId="81" fillId="0" borderId="105" xfId="161" applyFont="1" applyFill="1" applyBorder="1" applyAlignment="1">
      <alignment vertical="center"/>
    </xf>
    <xf numFmtId="3" fontId="81" fillId="0" borderId="105" xfId="161" applyNumberFormat="1" applyFont="1" applyFill="1" applyBorder="1" applyAlignment="1">
      <alignment vertical="center"/>
    </xf>
    <xf numFmtId="0" fontId="81" fillId="0" borderId="105" xfId="161" applyFont="1" applyFill="1" applyBorder="1" applyAlignment="1">
      <alignment horizontal="center" vertical="center"/>
    </xf>
    <xf numFmtId="44" fontId="81" fillId="0" borderId="106" xfId="88" applyFont="1" applyFill="1" applyBorder="1" applyAlignment="1">
      <alignment vertical="center"/>
    </xf>
    <xf numFmtId="0" fontId="83" fillId="0" borderId="0" xfId="161" applyFont="1" applyFill="1" applyAlignment="1">
      <alignment vertical="center"/>
    </xf>
    <xf numFmtId="0" fontId="83" fillId="0" borderId="0" xfId="161" applyFont="1" applyFill="1" applyAlignment="1">
      <alignment horizontal="right" vertical="center"/>
    </xf>
    <xf numFmtId="3" fontId="81" fillId="0" borderId="0" xfId="161" applyNumberFormat="1" applyFont="1" applyFill="1" applyAlignment="1">
      <alignment vertical="center"/>
    </xf>
    <xf numFmtId="0" fontId="81" fillId="0" borderId="0" xfId="161" applyFont="1" applyFill="1" applyAlignment="1">
      <alignment horizontal="center" vertical="center"/>
    </xf>
    <xf numFmtId="44" fontId="81" fillId="0" borderId="0" xfId="88" applyFont="1" applyFill="1" applyAlignment="1">
      <alignment vertical="center"/>
    </xf>
    <xf numFmtId="0" fontId="82" fillId="0" borderId="0" xfId="161" applyFont="1" applyFill="1" applyAlignment="1">
      <alignment horizontal="right" vertical="center"/>
    </xf>
    <xf numFmtId="44" fontId="81" fillId="0" borderId="26" xfId="88" applyFont="1" applyFill="1" applyBorder="1" applyAlignment="1">
      <alignment vertical="center"/>
    </xf>
    <xf numFmtId="44" fontId="83" fillId="0" borderId="0" xfId="88" applyFont="1" applyFill="1" applyAlignment="1">
      <alignment vertical="center"/>
    </xf>
    <xf numFmtId="0" fontId="3" fillId="90" borderId="5" xfId="0" applyFont="1" applyFill="1" applyBorder="1" applyAlignment="1">
      <alignment vertical="top" wrapText="1"/>
    </xf>
    <xf numFmtId="164" fontId="0" fillId="90" borderId="0" xfId="0" applyNumberFormat="1" applyFill="1"/>
    <xf numFmtId="1" fontId="88" fillId="0" borderId="17" xfId="0" applyNumberFormat="1" applyFont="1" applyBorder="1" applyAlignment="1">
      <alignment horizontal="left" vertical="top" wrapText="1"/>
    </xf>
    <xf numFmtId="0" fontId="89" fillId="0" borderId="17" xfId="0" applyFont="1" applyBorder="1" applyAlignment="1">
      <alignment horizontal="left" vertical="top" wrapText="1"/>
    </xf>
    <xf numFmtId="0" fontId="86" fillId="0" borderId="142" xfId="0" applyFont="1" applyBorder="1" applyAlignment="1">
      <alignment horizontal="left" vertical="top" wrapText="1"/>
    </xf>
    <xf numFmtId="0" fontId="86" fillId="0" borderId="144" xfId="0" applyFont="1" applyBorder="1" applyAlignment="1">
      <alignment horizontal="left" vertical="top" wrapText="1"/>
    </xf>
    <xf numFmtId="0" fontId="81" fillId="0" borderId="0" xfId="161" applyFont="1" applyFill="1" applyBorder="1" applyAlignment="1">
      <alignment vertical="center"/>
    </xf>
    <xf numFmtId="0" fontId="3" fillId="0" borderId="152" xfId="0" applyFont="1" applyFill="1" applyBorder="1" applyAlignment="1">
      <alignment vertical="top" wrapText="1"/>
    </xf>
    <xf numFmtId="3" fontId="81" fillId="0" borderId="0" xfId="161" applyNumberFormat="1" applyFont="1" applyFill="1" applyBorder="1" applyAlignment="1">
      <alignment vertical="center"/>
    </xf>
    <xf numFmtId="0" fontId="81" fillId="0" borderId="0" xfId="161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2" fillId="0" borderId="0" xfId="0" applyFont="1" applyFill="1"/>
    <xf numFmtId="0" fontId="0" fillId="0" borderId="0" xfId="0" applyFont="1" applyFill="1"/>
    <xf numFmtId="6" fontId="81" fillId="0" borderId="0" xfId="161" applyNumberFormat="1" applyFont="1" applyAlignment="1">
      <alignment vertical="center"/>
    </xf>
    <xf numFmtId="0" fontId="54" fillId="71" borderId="60" xfId="0" applyFont="1" applyFill="1" applyBorder="1" applyAlignment="1">
      <alignment horizontal="center" vertical="center" wrapText="1"/>
    </xf>
    <xf numFmtId="0" fontId="54" fillId="71" borderId="28" xfId="0" applyFont="1" applyFill="1" applyBorder="1" applyAlignment="1">
      <alignment horizontal="center" vertical="center" wrapText="1"/>
    </xf>
    <xf numFmtId="0" fontId="54" fillId="71" borderId="6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 horizontal="center"/>
    </xf>
    <xf numFmtId="3" fontId="68" fillId="0" borderId="36" xfId="0" applyNumberFormat="1" applyFont="1" applyFill="1" applyBorder="1" applyAlignment="1">
      <alignment horizontal="left" vertical="center"/>
    </xf>
    <xf numFmtId="3" fontId="68" fillId="0" borderId="37" xfId="0" applyNumberFormat="1" applyFont="1" applyFill="1" applyBorder="1" applyAlignment="1">
      <alignment horizontal="left" vertical="center"/>
    </xf>
    <xf numFmtId="3" fontId="68" fillId="0" borderId="38" xfId="0" applyNumberFormat="1" applyFont="1" applyFill="1" applyBorder="1" applyAlignment="1">
      <alignment horizontal="left" vertical="center"/>
    </xf>
    <xf numFmtId="3" fontId="68" fillId="78" borderId="36" xfId="0" applyNumberFormat="1" applyFont="1" applyFill="1" applyBorder="1" applyAlignment="1">
      <alignment horizontal="left" vertical="center"/>
    </xf>
    <xf numFmtId="3" fontId="68" fillId="78" borderId="37" xfId="0" applyNumberFormat="1" applyFont="1" applyFill="1" applyBorder="1" applyAlignment="1">
      <alignment horizontal="left" vertical="center"/>
    </xf>
    <xf numFmtId="3" fontId="68" fillId="78" borderId="38" xfId="0" applyNumberFormat="1" applyFont="1" applyFill="1" applyBorder="1" applyAlignment="1">
      <alignment horizontal="left" vertical="center"/>
    </xf>
    <xf numFmtId="0" fontId="65" fillId="77" borderId="29" xfId="0" applyFont="1" applyFill="1" applyBorder="1" applyAlignment="1">
      <alignment horizontal="center" vertical="center" wrapText="1"/>
    </xf>
    <xf numFmtId="0" fontId="65" fillId="77" borderId="30" xfId="0" applyFont="1" applyFill="1" applyBorder="1" applyAlignment="1">
      <alignment horizontal="center" vertical="center" wrapText="1"/>
    </xf>
    <xf numFmtId="0" fontId="65" fillId="77" borderId="31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23" fillId="77" borderId="32" xfId="0" applyFont="1" applyFill="1" applyBorder="1" applyAlignment="1">
      <alignment horizontal="center" vertical="center" wrapText="1"/>
    </xf>
    <xf numFmtId="0" fontId="23" fillId="77" borderId="0" xfId="0" applyFont="1" applyFill="1" applyBorder="1" applyAlignment="1">
      <alignment horizontal="center" vertical="center" wrapText="1"/>
    </xf>
    <xf numFmtId="0" fontId="23" fillId="77" borderId="33" xfId="0" applyFont="1" applyFill="1" applyBorder="1" applyAlignment="1">
      <alignment horizontal="center" vertical="center" wrapText="1"/>
    </xf>
    <xf numFmtId="3" fontId="68" fillId="78" borderId="36" xfId="0" applyNumberFormat="1" applyFont="1" applyFill="1" applyBorder="1" applyAlignment="1">
      <alignment horizontal="center" vertical="center"/>
    </xf>
    <xf numFmtId="3" fontId="68" fillId="78" borderId="38" xfId="0" applyNumberFormat="1" applyFont="1" applyFill="1" applyBorder="1" applyAlignment="1">
      <alignment horizontal="center" vertical="center"/>
    </xf>
    <xf numFmtId="3" fontId="68" fillId="0" borderId="36" xfId="0" applyNumberFormat="1" applyFont="1" applyFill="1" applyBorder="1" applyAlignment="1">
      <alignment horizontal="center" vertical="center"/>
    </xf>
    <xf numFmtId="3" fontId="68" fillId="0" borderId="38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9" xfId="0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8" fillId="82" borderId="88" xfId="0" applyFont="1" applyFill="1" applyBorder="1" applyAlignment="1">
      <alignment horizontal="center"/>
    </xf>
    <xf numFmtId="0" fontId="78" fillId="82" borderId="87" xfId="0" applyFont="1" applyFill="1" applyBorder="1" applyAlignment="1">
      <alignment horizontal="center"/>
    </xf>
    <xf numFmtId="0" fontId="78" fillId="82" borderId="52" xfId="0" applyFont="1" applyFill="1" applyBorder="1" applyAlignment="1">
      <alignment horizontal="center"/>
    </xf>
    <xf numFmtId="0" fontId="78" fillId="87" borderId="64" xfId="0" applyFont="1" applyFill="1" applyBorder="1" applyAlignment="1">
      <alignment horizontal="center"/>
    </xf>
    <xf numFmtId="0" fontId="78" fillId="87" borderId="27" xfId="0" applyFont="1" applyFill="1" applyBorder="1" applyAlignment="1">
      <alignment horizontal="center"/>
    </xf>
    <xf numFmtId="0" fontId="78" fillId="87" borderId="60" xfId="0" applyFont="1" applyFill="1" applyBorder="1" applyAlignment="1">
      <alignment horizontal="center"/>
    </xf>
    <xf numFmtId="0" fontId="78" fillId="87" borderId="89" xfId="0" applyFont="1" applyFill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1" xfId="0" applyBorder="1" applyAlignment="1">
      <alignment horizontal="center"/>
    </xf>
    <xf numFmtId="0" fontId="64" fillId="0" borderId="5" xfId="0" applyFont="1" applyBorder="1" applyAlignment="1">
      <alignment horizontal="center" vertical="top" wrapText="1"/>
    </xf>
    <xf numFmtId="0" fontId="62" fillId="0" borderId="5" xfId="0" applyFont="1" applyBorder="1" applyAlignment="1">
      <alignment horizontal="center" vertical="top" wrapText="1"/>
    </xf>
    <xf numFmtId="1" fontId="61" fillId="0" borderId="5" xfId="0" applyNumberFormat="1" applyFont="1" applyBorder="1" applyAlignment="1">
      <alignment horizontal="center" vertical="top" wrapText="1"/>
    </xf>
    <xf numFmtId="0" fontId="80" fillId="87" borderId="90" xfId="0" applyFont="1" applyFill="1" applyBorder="1" applyAlignment="1">
      <alignment horizontal="center"/>
    </xf>
    <xf numFmtId="0" fontId="80" fillId="87" borderId="81" xfId="0" applyFont="1" applyFill="1" applyBorder="1" applyAlignment="1">
      <alignment horizontal="center"/>
    </xf>
    <xf numFmtId="165" fontId="61" fillId="0" borderId="5" xfId="0" applyNumberFormat="1" applyFont="1" applyBorder="1" applyAlignment="1">
      <alignment horizontal="center" vertical="center" wrapText="1"/>
    </xf>
    <xf numFmtId="165" fontId="70" fillId="0" borderId="5" xfId="0" applyNumberFormat="1" applyFont="1" applyBorder="1" applyAlignment="1">
      <alignment horizontal="center" vertical="top" wrapText="1"/>
    </xf>
    <xf numFmtId="0" fontId="62" fillId="75" borderId="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1" fontId="70" fillId="0" borderId="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74" fillId="85" borderId="0" xfId="0" applyFont="1" applyFill="1" applyAlignment="1">
      <alignment horizontal="center" wrapText="1"/>
    </xf>
    <xf numFmtId="0" fontId="77" fillId="86" borderId="83" xfId="0" applyFont="1" applyFill="1" applyBorder="1" applyAlignment="1">
      <alignment horizontal="center" wrapText="1"/>
    </xf>
    <xf numFmtId="0" fontId="77" fillId="86" borderId="84" xfId="0" applyFont="1" applyFill="1" applyBorder="1" applyAlignment="1">
      <alignment horizontal="center" wrapText="1"/>
    </xf>
    <xf numFmtId="0" fontId="77" fillId="86" borderId="85" xfId="0" applyFont="1" applyFill="1" applyBorder="1" applyAlignment="1">
      <alignment horizontal="center" wrapText="1"/>
    </xf>
    <xf numFmtId="0" fontId="75" fillId="85" borderId="86" xfId="0" applyFont="1" applyFill="1" applyBorder="1"/>
    <xf numFmtId="0" fontId="0" fillId="0" borderId="21" xfId="0" applyBorder="1" applyAlignment="1">
      <alignment horizontal="center"/>
    </xf>
    <xf numFmtId="0" fontId="2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83" fillId="81" borderId="0" xfId="161" applyFont="1" applyFill="1" applyAlignment="1">
      <alignment horizontal="center" vertical="center"/>
    </xf>
    <xf numFmtId="14" fontId="81" fillId="0" borderId="0" xfId="161" applyNumberFormat="1" applyFont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44" fontId="0" fillId="0" borderId="122" xfId="1" applyFont="1" applyBorder="1" applyAlignment="1">
      <alignment horizontal="center"/>
    </xf>
    <xf numFmtId="44" fontId="0" fillId="0" borderId="123" xfId="1" applyFont="1" applyBorder="1" applyAlignment="1">
      <alignment horizontal="center"/>
    </xf>
    <xf numFmtId="0" fontId="81" fillId="0" borderId="0" xfId="161" applyFont="1" applyAlignment="1">
      <alignment horizontal="center" vertical="center"/>
    </xf>
    <xf numFmtId="0" fontId="83" fillId="82" borderId="0" xfId="161" applyFont="1" applyFill="1" applyAlignment="1">
      <alignment horizontal="center" vertical="center"/>
    </xf>
    <xf numFmtId="0" fontId="0" fillId="0" borderId="136" xfId="0" applyBorder="1" applyAlignment="1">
      <alignment horizontal="left" vertical="top" wrapText="1"/>
    </xf>
    <xf numFmtId="0" fontId="0" fillId="0" borderId="137" xfId="0" applyBorder="1" applyAlignment="1">
      <alignment horizontal="left" vertical="top" wrapText="1"/>
    </xf>
    <xf numFmtId="0" fontId="0" fillId="0" borderId="138" xfId="0" applyBorder="1" applyAlignment="1">
      <alignment horizontal="left" vertical="top" wrapText="1"/>
    </xf>
    <xf numFmtId="0" fontId="85" fillId="0" borderId="139" xfId="0" applyFont="1" applyBorder="1" applyAlignment="1">
      <alignment horizontal="center" vertical="top" wrapText="1"/>
    </xf>
    <xf numFmtId="0" fontId="85" fillId="0" borderId="137" xfId="0" applyFont="1" applyBorder="1" applyAlignment="1">
      <alignment horizontal="center" vertical="top" wrapText="1"/>
    </xf>
    <xf numFmtId="0" fontId="85" fillId="0" borderId="140" xfId="0" applyFont="1" applyBorder="1" applyAlignment="1">
      <alignment horizontal="center" vertical="top" wrapText="1"/>
    </xf>
    <xf numFmtId="0" fontId="85" fillId="0" borderId="141" xfId="0" applyFont="1" applyBorder="1" applyAlignment="1">
      <alignment horizontal="left" vertical="center" wrapText="1" indent="5"/>
    </xf>
    <xf numFmtId="0" fontId="85" fillId="0" borderId="127" xfId="0" applyFont="1" applyBorder="1" applyAlignment="1">
      <alignment horizontal="left" vertical="center" wrapText="1" indent="5"/>
    </xf>
    <xf numFmtId="0" fontId="85" fillId="0" borderId="128" xfId="0" applyFont="1" applyBorder="1" applyAlignment="1">
      <alignment horizontal="left" vertical="center" wrapText="1" indent="5"/>
    </xf>
    <xf numFmtId="0" fontId="85" fillId="0" borderId="143" xfId="0" applyFont="1" applyBorder="1" applyAlignment="1">
      <alignment horizontal="left" vertical="center" wrapText="1" indent="5"/>
    </xf>
    <xf numFmtId="0" fontId="85" fillId="0" borderId="129" xfId="0" applyFont="1" applyBorder="1" applyAlignment="1">
      <alignment horizontal="left" vertical="center" wrapText="1" indent="5"/>
    </xf>
    <xf numFmtId="0" fontId="85" fillId="0" borderId="130" xfId="0" applyFont="1" applyBorder="1" applyAlignment="1">
      <alignment horizontal="left" vertical="center" wrapText="1" indent="5"/>
    </xf>
    <xf numFmtId="0" fontId="86" fillId="0" borderId="124" xfId="0" applyFont="1" applyBorder="1" applyAlignment="1">
      <alignment horizontal="left" vertical="top" wrapText="1"/>
    </xf>
    <xf numFmtId="0" fontId="86" fillId="0" borderId="126" xfId="0" applyFont="1" applyBorder="1" applyAlignment="1">
      <alignment horizontal="left" vertical="top" wrapText="1"/>
    </xf>
    <xf numFmtId="0" fontId="86" fillId="0" borderId="131" xfId="0" applyFont="1" applyBorder="1" applyAlignment="1">
      <alignment horizontal="left" vertical="top" wrapText="1"/>
    </xf>
    <xf numFmtId="0" fontId="86" fillId="0" borderId="132" xfId="0" applyFont="1" applyBorder="1" applyAlignment="1">
      <alignment horizontal="left" vertical="top" wrapText="1"/>
    </xf>
    <xf numFmtId="1" fontId="87" fillId="0" borderId="133" xfId="0" applyNumberFormat="1" applyFont="1" applyBorder="1" applyAlignment="1">
      <alignment horizontal="center" vertical="top" wrapText="1"/>
    </xf>
    <xf numFmtId="1" fontId="87" fillId="0" borderId="134" xfId="0" applyNumberFormat="1" applyFont="1" applyBorder="1" applyAlignment="1">
      <alignment horizontal="center" vertical="top" wrapText="1"/>
    </xf>
    <xf numFmtId="1" fontId="87" fillId="0" borderId="146" xfId="0" applyNumberFormat="1" applyFont="1" applyBorder="1" applyAlignment="1">
      <alignment horizontal="center" vertical="top" wrapText="1"/>
    </xf>
    <xf numFmtId="0" fontId="0" fillId="0" borderId="147" xfId="0" applyBorder="1" applyAlignment="1">
      <alignment horizontal="left" vertical="top" wrapText="1"/>
    </xf>
    <xf numFmtId="0" fontId="0" fillId="0" borderId="125" xfId="0" applyBorder="1" applyAlignment="1">
      <alignment horizontal="left" vertical="top" wrapText="1"/>
    </xf>
    <xf numFmtId="0" fontId="0" fillId="0" borderId="126" xfId="0" applyBorder="1" applyAlignment="1">
      <alignment horizontal="left" vertical="top" wrapText="1"/>
    </xf>
    <xf numFmtId="189" fontId="88" fillId="0" borderId="124" xfId="0" applyNumberFormat="1" applyFont="1" applyBorder="1" applyAlignment="1">
      <alignment horizontal="left" vertical="top" wrapText="1"/>
    </xf>
    <xf numFmtId="189" fontId="88" fillId="0" borderId="148" xfId="0" applyNumberFormat="1" applyFont="1" applyBorder="1" applyAlignment="1">
      <alignment horizontal="left" vertical="top" wrapText="1"/>
    </xf>
    <xf numFmtId="0" fontId="87" fillId="0" borderId="149" xfId="0" applyFont="1" applyBorder="1" applyAlignment="1">
      <alignment horizontal="left" vertical="top" wrapText="1"/>
    </xf>
    <xf numFmtId="0" fontId="87" fillId="0" borderId="150" xfId="0" applyFont="1" applyBorder="1" applyAlignment="1">
      <alignment horizontal="left" vertical="top" wrapText="1"/>
    </xf>
    <xf numFmtId="189" fontId="90" fillId="0" borderId="150" xfId="0" applyNumberFormat="1" applyFont="1" applyBorder="1" applyAlignment="1">
      <alignment horizontal="center" vertical="top" wrapText="1"/>
    </xf>
    <xf numFmtId="189" fontId="90" fillId="0" borderId="151" xfId="0" applyNumberFormat="1" applyFont="1" applyBorder="1" applyAlignment="1">
      <alignment horizontal="center" vertical="top" wrapText="1"/>
    </xf>
    <xf numFmtId="0" fontId="83" fillId="90" borderId="0" xfId="161" applyFont="1" applyFill="1" applyAlignment="1">
      <alignment horizontal="center" vertical="center"/>
    </xf>
    <xf numFmtId="189" fontId="88" fillId="0" borderId="124" xfId="0" applyNumberFormat="1" applyFont="1" applyBorder="1" applyAlignment="1">
      <alignment horizontal="left" vertical="top" wrapText="1" indent="3"/>
    </xf>
    <xf numFmtId="189" fontId="88" fillId="0" borderId="125" xfId="0" applyNumberFormat="1" applyFont="1" applyBorder="1" applyAlignment="1">
      <alignment horizontal="left" vertical="top" wrapText="1" indent="3"/>
    </xf>
    <xf numFmtId="189" fontId="88" fillId="0" borderId="148" xfId="0" applyNumberFormat="1" applyFont="1" applyBorder="1" applyAlignment="1">
      <alignment horizontal="left" vertical="top" wrapText="1" indent="3"/>
    </xf>
    <xf numFmtId="0" fontId="89" fillId="0" borderId="124" xfId="0" applyFont="1" applyBorder="1" applyAlignment="1">
      <alignment horizontal="left" vertical="top" wrapText="1"/>
    </xf>
    <xf numFmtId="0" fontId="89" fillId="0" borderId="148" xfId="0" applyFont="1" applyBorder="1" applyAlignment="1">
      <alignment horizontal="left" vertical="top" wrapText="1"/>
    </xf>
    <xf numFmtId="0" fontId="57" fillId="0" borderId="145" xfId="0" applyFont="1" applyBorder="1" applyAlignment="1">
      <alignment horizontal="left" vertical="top" wrapText="1"/>
    </xf>
    <xf numFmtId="0" fontId="57" fillId="0" borderId="134" xfId="0" applyFont="1" applyBorder="1" applyAlignment="1">
      <alignment horizontal="left" vertical="top" wrapText="1"/>
    </xf>
    <xf numFmtId="0" fontId="57" fillId="0" borderId="135" xfId="0" applyFont="1" applyBorder="1" applyAlignment="1">
      <alignment horizontal="left" vertical="top" wrapText="1"/>
    </xf>
    <xf numFmtId="0" fontId="72" fillId="0" borderId="0" xfId="0" applyFont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7" fillId="0" borderId="0" xfId="5" applyNumberFormat="1" applyFont="1" applyAlignment="1">
      <alignment horizontal="center" vertical="center" wrapText="1"/>
    </xf>
    <xf numFmtId="0" fontId="8" fillId="0" borderId="0" xfId="5" applyNumberFormat="1" applyFont="1" applyAlignment="1">
      <alignment horizontal="center" vertical="center" wrapText="1"/>
    </xf>
  </cellXfs>
  <cellStyles count="477">
    <cellStyle name="‡" xfId="475" xr:uid="{00000000-0005-0000-0000-000000000000}"/>
    <cellStyle name="20% - Accent1" xfId="24" builtinId="30" customBuiltin="1"/>
    <cellStyle name="20% - Accent1 2" xfId="50" xr:uid="{00000000-0005-0000-0000-000002000000}"/>
    <cellStyle name="20% - Accent2" xfId="28" builtinId="34" customBuiltin="1"/>
    <cellStyle name="20% - Accent2 2" xfId="51" xr:uid="{00000000-0005-0000-0000-000004000000}"/>
    <cellStyle name="20% - Accent3" xfId="32" builtinId="38" customBuiltin="1"/>
    <cellStyle name="20% - Accent3 2" xfId="52" xr:uid="{00000000-0005-0000-0000-000006000000}"/>
    <cellStyle name="20% - Accent4" xfId="36" builtinId="42" customBuiltin="1"/>
    <cellStyle name="20% - Accent4 2" xfId="53" xr:uid="{00000000-0005-0000-0000-000008000000}"/>
    <cellStyle name="20% - Accent5" xfId="40" builtinId="46" customBuiltin="1"/>
    <cellStyle name="20% - Accent5 2" xfId="54" xr:uid="{00000000-0005-0000-0000-00000A000000}"/>
    <cellStyle name="20% - Accent6" xfId="44" builtinId="50" customBuiltin="1"/>
    <cellStyle name="20% - Accent6 2" xfId="55" xr:uid="{00000000-0005-0000-0000-00000C000000}"/>
    <cellStyle name="40% - Accent1" xfId="25" builtinId="31" customBuiltin="1"/>
    <cellStyle name="40% - Accent1 2" xfId="56" xr:uid="{00000000-0005-0000-0000-00000E000000}"/>
    <cellStyle name="40% - Accent2" xfId="29" builtinId="35" customBuiltin="1"/>
    <cellStyle name="40% - Accent2 2" xfId="57" xr:uid="{00000000-0005-0000-0000-000010000000}"/>
    <cellStyle name="40% - Accent3" xfId="33" builtinId="39" customBuiltin="1"/>
    <cellStyle name="40% - Accent3 2" xfId="58" xr:uid="{00000000-0005-0000-0000-000012000000}"/>
    <cellStyle name="40% - Accent4" xfId="37" builtinId="43" customBuiltin="1"/>
    <cellStyle name="40% - Accent4 2" xfId="59" xr:uid="{00000000-0005-0000-0000-000014000000}"/>
    <cellStyle name="40% - Accent5" xfId="41" builtinId="47" customBuiltin="1"/>
    <cellStyle name="40% - Accent5 2" xfId="60" xr:uid="{00000000-0005-0000-0000-000016000000}"/>
    <cellStyle name="40% - Accent6" xfId="45" builtinId="51" customBuiltin="1"/>
    <cellStyle name="40% - Accent6 2" xfId="61" xr:uid="{00000000-0005-0000-0000-000018000000}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2.Heading1" xfId="474" xr:uid="{00000000-0005-0000-0000-00001F000000}"/>
    <cellStyle name="Accent1" xfId="23" builtinId="29" customBuiltin="1"/>
    <cellStyle name="Accent1 - 20%" xfId="473" xr:uid="{00000000-0005-0000-0000-000021000000}"/>
    <cellStyle name="Accent1 - 40%" xfId="472" xr:uid="{00000000-0005-0000-0000-000022000000}"/>
    <cellStyle name="Accent1 - 60%" xfId="471" xr:uid="{00000000-0005-0000-0000-000023000000}"/>
    <cellStyle name="Accent2" xfId="27" builtinId="33" customBuiltin="1"/>
    <cellStyle name="Accent2 - 20%" xfId="470" xr:uid="{00000000-0005-0000-0000-000025000000}"/>
    <cellStyle name="Accent2 - 40%" xfId="469" xr:uid="{00000000-0005-0000-0000-000026000000}"/>
    <cellStyle name="Accent2 - 60%" xfId="468" xr:uid="{00000000-0005-0000-0000-000027000000}"/>
    <cellStyle name="Accent3" xfId="31" builtinId="37" customBuiltin="1"/>
    <cellStyle name="Accent3 - 20%" xfId="467" xr:uid="{00000000-0005-0000-0000-000029000000}"/>
    <cellStyle name="Accent3 - 40%" xfId="466" xr:uid="{00000000-0005-0000-0000-00002A000000}"/>
    <cellStyle name="Accent3 - 60%" xfId="465" xr:uid="{00000000-0005-0000-0000-00002B000000}"/>
    <cellStyle name="Accent4" xfId="35" builtinId="41" customBuiltin="1"/>
    <cellStyle name="Accent4 - 20%" xfId="464" xr:uid="{00000000-0005-0000-0000-00002D000000}"/>
    <cellStyle name="Accent4 - 40%" xfId="463" xr:uid="{00000000-0005-0000-0000-00002E000000}"/>
    <cellStyle name="Accent4 - 60%" xfId="462" xr:uid="{00000000-0005-0000-0000-00002F000000}"/>
    <cellStyle name="Accent5" xfId="39" builtinId="45" customBuiltin="1"/>
    <cellStyle name="Accent5 - 20%" xfId="461" xr:uid="{00000000-0005-0000-0000-000031000000}"/>
    <cellStyle name="Accent5 - 40%" xfId="460" xr:uid="{00000000-0005-0000-0000-000032000000}"/>
    <cellStyle name="Accent5 - 60%" xfId="459" xr:uid="{00000000-0005-0000-0000-000033000000}"/>
    <cellStyle name="Accent6" xfId="43" builtinId="49" customBuiltin="1"/>
    <cellStyle name="Accent6 - 20%" xfId="458" xr:uid="{00000000-0005-0000-0000-000035000000}"/>
    <cellStyle name="Accent6 - 40%" xfId="457" xr:uid="{00000000-0005-0000-0000-000036000000}"/>
    <cellStyle name="Accent6 - 60%" xfId="456" xr:uid="{00000000-0005-0000-0000-000037000000}"/>
    <cellStyle name="Bad" xfId="12" builtinId="27" customBuiltin="1"/>
    <cellStyle name="Calculation" xfId="16" builtinId="22" customBuiltin="1"/>
    <cellStyle name="Check Cell" xfId="18" builtinId="23" customBuiltin="1"/>
    <cellStyle name="Comma" xfId="3" builtinId="3"/>
    <cellStyle name="Comma 10" xfId="455" xr:uid="{00000000-0005-0000-0000-00003C000000}"/>
    <cellStyle name="Comma 2" xfId="62" xr:uid="{00000000-0005-0000-0000-00003D000000}"/>
    <cellStyle name="Comma 2 2" xfId="63" xr:uid="{00000000-0005-0000-0000-00003E000000}"/>
    <cellStyle name="Comma 2 2 2" xfId="454" xr:uid="{00000000-0005-0000-0000-00003F000000}"/>
    <cellStyle name="Comma 2 3" xfId="64" xr:uid="{00000000-0005-0000-0000-000040000000}"/>
    <cellStyle name="Comma 2 4" xfId="65" xr:uid="{00000000-0005-0000-0000-000041000000}"/>
    <cellStyle name="Comma 2 5" xfId="66" xr:uid="{00000000-0005-0000-0000-000042000000}"/>
    <cellStyle name="Comma 2 6" xfId="67" xr:uid="{00000000-0005-0000-0000-000043000000}"/>
    <cellStyle name="Comma 2 7" xfId="68" xr:uid="{00000000-0005-0000-0000-000044000000}"/>
    <cellStyle name="Comma 2 8" xfId="69" xr:uid="{00000000-0005-0000-0000-000045000000}"/>
    <cellStyle name="Comma 3" xfId="70" xr:uid="{00000000-0005-0000-0000-000046000000}"/>
    <cellStyle name="Comma 3 10" xfId="71" xr:uid="{00000000-0005-0000-0000-000047000000}"/>
    <cellStyle name="Comma 3 2" xfId="72" xr:uid="{00000000-0005-0000-0000-000048000000}"/>
    <cellStyle name="Comma 3 3" xfId="73" xr:uid="{00000000-0005-0000-0000-000049000000}"/>
    <cellStyle name="Comma 3 4" xfId="74" xr:uid="{00000000-0005-0000-0000-00004A000000}"/>
    <cellStyle name="Comma 3 5" xfId="75" xr:uid="{00000000-0005-0000-0000-00004B000000}"/>
    <cellStyle name="Comma 3 6" xfId="76" xr:uid="{00000000-0005-0000-0000-00004C000000}"/>
    <cellStyle name="Comma 3 7" xfId="77" xr:uid="{00000000-0005-0000-0000-00004D000000}"/>
    <cellStyle name="Comma 3 8" xfId="78" xr:uid="{00000000-0005-0000-0000-00004E000000}"/>
    <cellStyle name="Comma 3 9" xfId="79" xr:uid="{00000000-0005-0000-0000-00004F000000}"/>
    <cellStyle name="Comma 4" xfId="80" xr:uid="{00000000-0005-0000-0000-000050000000}"/>
    <cellStyle name="Comma 4 2" xfId="81" xr:uid="{00000000-0005-0000-0000-000051000000}"/>
    <cellStyle name="Comma 4 3" xfId="82" xr:uid="{00000000-0005-0000-0000-000052000000}"/>
    <cellStyle name="Comma 4 4" xfId="83" xr:uid="{00000000-0005-0000-0000-000053000000}"/>
    <cellStyle name="Comma 4 5" xfId="84" xr:uid="{00000000-0005-0000-0000-000054000000}"/>
    <cellStyle name="Comma 4 6" xfId="85" xr:uid="{00000000-0005-0000-0000-000055000000}"/>
    <cellStyle name="Comma 4 7" xfId="86" xr:uid="{00000000-0005-0000-0000-000056000000}"/>
    <cellStyle name="Comma 5" xfId="87" xr:uid="{00000000-0005-0000-0000-000057000000}"/>
    <cellStyle name="Comma 6" xfId="453" xr:uid="{00000000-0005-0000-0000-000058000000}"/>
    <cellStyle name="Comma 7" xfId="452" xr:uid="{00000000-0005-0000-0000-000059000000}"/>
    <cellStyle name="Comma 8" xfId="451" xr:uid="{00000000-0005-0000-0000-00005A000000}"/>
    <cellStyle name="Comma 9" xfId="450" xr:uid="{00000000-0005-0000-0000-00005B000000}"/>
    <cellStyle name="Currency" xfId="1" builtinId="4"/>
    <cellStyle name="Currency 10" xfId="88" xr:uid="{00000000-0005-0000-0000-00005D000000}"/>
    <cellStyle name="Currency 2" xfId="89" xr:uid="{00000000-0005-0000-0000-00005E000000}"/>
    <cellStyle name="Currency 2 2" xfId="90" xr:uid="{00000000-0005-0000-0000-00005F000000}"/>
    <cellStyle name="Currency 2 2 2" xfId="91" xr:uid="{00000000-0005-0000-0000-000060000000}"/>
    <cellStyle name="Currency 2 2 3" xfId="92" xr:uid="{00000000-0005-0000-0000-000061000000}"/>
    <cellStyle name="Currency 2 2 4" xfId="93" xr:uid="{00000000-0005-0000-0000-000062000000}"/>
    <cellStyle name="Currency 2 2 5" xfId="476" xr:uid="{85E1E813-5D22-4B68-BCEA-FFBB85253588}"/>
    <cellStyle name="Currency 2 3" xfId="94" xr:uid="{00000000-0005-0000-0000-000063000000}"/>
    <cellStyle name="Currency 2 4" xfId="95" xr:uid="{00000000-0005-0000-0000-000064000000}"/>
    <cellStyle name="Currency 2 5" xfId="96" xr:uid="{00000000-0005-0000-0000-000065000000}"/>
    <cellStyle name="Currency 3" xfId="97" xr:uid="{00000000-0005-0000-0000-000066000000}"/>
    <cellStyle name="Currency 3 2" xfId="98" xr:uid="{00000000-0005-0000-0000-000067000000}"/>
    <cellStyle name="Currency 3 3" xfId="99" xr:uid="{00000000-0005-0000-0000-000068000000}"/>
    <cellStyle name="Currency 3 4" xfId="100" xr:uid="{00000000-0005-0000-0000-000069000000}"/>
    <cellStyle name="Currency 4" xfId="101" xr:uid="{00000000-0005-0000-0000-00006A000000}"/>
    <cellStyle name="Currency 4 2" xfId="102" xr:uid="{00000000-0005-0000-0000-00006B000000}"/>
    <cellStyle name="Currency 4 3" xfId="103" xr:uid="{00000000-0005-0000-0000-00006C000000}"/>
    <cellStyle name="Currency 4 4" xfId="104" xr:uid="{00000000-0005-0000-0000-00006D000000}"/>
    <cellStyle name="Currency 5" xfId="105" xr:uid="{00000000-0005-0000-0000-00006E000000}"/>
    <cellStyle name="Currency 5 2" xfId="106" xr:uid="{00000000-0005-0000-0000-00006F000000}"/>
    <cellStyle name="Currency 5 3" xfId="107" xr:uid="{00000000-0005-0000-0000-000070000000}"/>
    <cellStyle name="Currency 5 4" xfId="108" xr:uid="{00000000-0005-0000-0000-000071000000}"/>
    <cellStyle name="Currency 6" xfId="109" xr:uid="{00000000-0005-0000-0000-000072000000}"/>
    <cellStyle name="Currency 6 2" xfId="110" xr:uid="{00000000-0005-0000-0000-000073000000}"/>
    <cellStyle name="Currency 6 3" xfId="111" xr:uid="{00000000-0005-0000-0000-000074000000}"/>
    <cellStyle name="Currency 6 4" xfId="112" xr:uid="{00000000-0005-0000-0000-000075000000}"/>
    <cellStyle name="Currency 7" xfId="113" xr:uid="{00000000-0005-0000-0000-000076000000}"/>
    <cellStyle name="Currency 7 2" xfId="114" xr:uid="{00000000-0005-0000-0000-000077000000}"/>
    <cellStyle name="Currency 7 3" xfId="115" xr:uid="{00000000-0005-0000-0000-000078000000}"/>
    <cellStyle name="Currency 7 4" xfId="116" xr:uid="{00000000-0005-0000-0000-000079000000}"/>
    <cellStyle name="Currency 8" xfId="117" xr:uid="{00000000-0005-0000-0000-00007A000000}"/>
    <cellStyle name="Currency 9" xfId="118" xr:uid="{00000000-0005-0000-0000-00007B000000}"/>
    <cellStyle name="Date" xfId="449" xr:uid="{00000000-0005-0000-0000-00007C000000}"/>
    <cellStyle name="Emphasis 1" xfId="448" xr:uid="{00000000-0005-0000-0000-00007D000000}"/>
    <cellStyle name="Emphasis 2" xfId="447" xr:uid="{00000000-0005-0000-0000-00007E000000}"/>
    <cellStyle name="Emphasis 3" xfId="446" xr:uid="{00000000-0005-0000-0000-00007F000000}"/>
    <cellStyle name="Explanatory Text" xfId="21" builtinId="53" customBuiltin="1"/>
    <cellStyle name="Fixed" xfId="445" xr:uid="{00000000-0005-0000-0000-000081000000}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eading1" xfId="444" xr:uid="{00000000-0005-0000-0000-000087000000}"/>
    <cellStyle name="Heading2" xfId="443" xr:uid="{00000000-0005-0000-0000-000088000000}"/>
    <cellStyle name="Hyperlink" xfId="2" builtinId="8"/>
    <cellStyle name="Hyperlink 2" xfId="442" xr:uid="{00000000-0005-0000-0000-00008A000000}"/>
    <cellStyle name="Hyperlink 2 2" xfId="441" xr:uid="{00000000-0005-0000-0000-00008B000000}"/>
    <cellStyle name="Input" xfId="14" builtinId="20" customBuiltin="1"/>
    <cellStyle name="Linked Cell" xfId="17" builtinId="24" customBuiltin="1"/>
    <cellStyle name="Milliers 2" xfId="440" xr:uid="{00000000-0005-0000-0000-00008E000000}"/>
    <cellStyle name="Monétaire 2" xfId="439" xr:uid="{00000000-0005-0000-0000-00008F000000}"/>
    <cellStyle name="Neutral" xfId="13" builtinId="28" customBuiltin="1"/>
    <cellStyle name="Normal" xfId="0" builtinId="0"/>
    <cellStyle name="Normal - Style1" xfId="438" xr:uid="{00000000-0005-0000-0000-000092000000}"/>
    <cellStyle name="Normal - Style2" xfId="437" xr:uid="{00000000-0005-0000-0000-000093000000}"/>
    <cellStyle name="Normal - Style3" xfId="436" xr:uid="{00000000-0005-0000-0000-000094000000}"/>
    <cellStyle name="Normal - Style4" xfId="435" xr:uid="{00000000-0005-0000-0000-000095000000}"/>
    <cellStyle name="Normal - Style5" xfId="434" xr:uid="{00000000-0005-0000-0000-000096000000}"/>
    <cellStyle name="Normal - Style6" xfId="433" xr:uid="{00000000-0005-0000-0000-000097000000}"/>
    <cellStyle name="Normal - Style7" xfId="432" xr:uid="{00000000-0005-0000-0000-000098000000}"/>
    <cellStyle name="Normal - Style8" xfId="431" xr:uid="{00000000-0005-0000-0000-000099000000}"/>
    <cellStyle name="Normal 10" xfId="119" xr:uid="{00000000-0005-0000-0000-00009A000000}"/>
    <cellStyle name="Normal 10 2" xfId="120" xr:uid="{00000000-0005-0000-0000-00009B000000}"/>
    <cellStyle name="Normal 10 2 2" xfId="121" xr:uid="{00000000-0005-0000-0000-00009C000000}"/>
    <cellStyle name="Normal 10 2 3" xfId="122" xr:uid="{00000000-0005-0000-0000-00009D000000}"/>
    <cellStyle name="Normal 10 2 4" xfId="123" xr:uid="{00000000-0005-0000-0000-00009E000000}"/>
    <cellStyle name="Normal 10 3" xfId="124" xr:uid="{00000000-0005-0000-0000-00009F000000}"/>
    <cellStyle name="Normal 10 3 2" xfId="125" xr:uid="{00000000-0005-0000-0000-0000A0000000}"/>
    <cellStyle name="Normal 10 3 3" xfId="126" xr:uid="{00000000-0005-0000-0000-0000A1000000}"/>
    <cellStyle name="Normal 10 3 4" xfId="127" xr:uid="{00000000-0005-0000-0000-0000A2000000}"/>
    <cellStyle name="Normal 10 4" xfId="128" xr:uid="{00000000-0005-0000-0000-0000A3000000}"/>
    <cellStyle name="Normal 10 4 2" xfId="129" xr:uid="{00000000-0005-0000-0000-0000A4000000}"/>
    <cellStyle name="Normal 10 4 3" xfId="130" xr:uid="{00000000-0005-0000-0000-0000A5000000}"/>
    <cellStyle name="Normal 10 4 4" xfId="131" xr:uid="{00000000-0005-0000-0000-0000A6000000}"/>
    <cellStyle name="Normal 10 5" xfId="132" xr:uid="{00000000-0005-0000-0000-0000A7000000}"/>
    <cellStyle name="Normal 10 6" xfId="133" xr:uid="{00000000-0005-0000-0000-0000A8000000}"/>
    <cellStyle name="Normal 10 7" xfId="134" xr:uid="{00000000-0005-0000-0000-0000A9000000}"/>
    <cellStyle name="Normal 11" xfId="135" xr:uid="{00000000-0005-0000-0000-0000AA000000}"/>
    <cellStyle name="Normal 11 2" xfId="136" xr:uid="{00000000-0005-0000-0000-0000AB000000}"/>
    <cellStyle name="Normal 11 3" xfId="137" xr:uid="{00000000-0005-0000-0000-0000AC000000}"/>
    <cellStyle name="Normal 11 4" xfId="138" xr:uid="{00000000-0005-0000-0000-0000AD000000}"/>
    <cellStyle name="Normal 12" xfId="139" xr:uid="{00000000-0005-0000-0000-0000AE000000}"/>
    <cellStyle name="Normal 12 2" xfId="140" xr:uid="{00000000-0005-0000-0000-0000AF000000}"/>
    <cellStyle name="Normal 12 3" xfId="141" xr:uid="{00000000-0005-0000-0000-0000B0000000}"/>
    <cellStyle name="Normal 12 4" xfId="142" xr:uid="{00000000-0005-0000-0000-0000B1000000}"/>
    <cellStyle name="Normal 13" xfId="143" xr:uid="{00000000-0005-0000-0000-0000B2000000}"/>
    <cellStyle name="Normal 13 2" xfId="144" xr:uid="{00000000-0005-0000-0000-0000B3000000}"/>
    <cellStyle name="Normal 13 3" xfId="145" xr:uid="{00000000-0005-0000-0000-0000B4000000}"/>
    <cellStyle name="Normal 13 4" xfId="146" xr:uid="{00000000-0005-0000-0000-0000B5000000}"/>
    <cellStyle name="Normal 14" xfId="147" xr:uid="{00000000-0005-0000-0000-0000B6000000}"/>
    <cellStyle name="Normal 15" xfId="148" xr:uid="{00000000-0005-0000-0000-0000B7000000}"/>
    <cellStyle name="Normal 16" xfId="149" xr:uid="{00000000-0005-0000-0000-0000B8000000}"/>
    <cellStyle name="Normal 17" xfId="150" xr:uid="{00000000-0005-0000-0000-0000B9000000}"/>
    <cellStyle name="Normal 18" xfId="49" xr:uid="{00000000-0005-0000-0000-0000BA000000}"/>
    <cellStyle name="Normal 19" xfId="151" xr:uid="{00000000-0005-0000-0000-0000BB000000}"/>
    <cellStyle name="Normal 2" xfId="5" xr:uid="{00000000-0005-0000-0000-0000BC000000}"/>
    <cellStyle name="Normal 2 10" xfId="152" xr:uid="{00000000-0005-0000-0000-0000BD000000}"/>
    <cellStyle name="Normal 2 10 2" xfId="153" xr:uid="{00000000-0005-0000-0000-0000BE000000}"/>
    <cellStyle name="Normal 2 10 3" xfId="154" xr:uid="{00000000-0005-0000-0000-0000BF000000}"/>
    <cellStyle name="Normal 2 10 4" xfId="155" xr:uid="{00000000-0005-0000-0000-0000C0000000}"/>
    <cellStyle name="Normal 2 11" xfId="156" xr:uid="{00000000-0005-0000-0000-0000C1000000}"/>
    <cellStyle name="Normal 2 12" xfId="157" xr:uid="{00000000-0005-0000-0000-0000C2000000}"/>
    <cellStyle name="Normal 2 13" xfId="158" xr:uid="{00000000-0005-0000-0000-0000C3000000}"/>
    <cellStyle name="Normal 2 14" xfId="159" xr:uid="{00000000-0005-0000-0000-0000C4000000}"/>
    <cellStyle name="Normal 2 15" xfId="160" xr:uid="{00000000-0005-0000-0000-0000C5000000}"/>
    <cellStyle name="Normal 2 16" xfId="161" xr:uid="{00000000-0005-0000-0000-0000C6000000}"/>
    <cellStyle name="Normal 2 2" xfId="47" xr:uid="{00000000-0005-0000-0000-0000C7000000}"/>
    <cellStyle name="Normal 2 2 2" xfId="162" xr:uid="{00000000-0005-0000-0000-0000C8000000}"/>
    <cellStyle name="Normal 2 2 2 2" xfId="163" xr:uid="{00000000-0005-0000-0000-0000C9000000}"/>
    <cellStyle name="Normal 2 2 2 3" xfId="164" xr:uid="{00000000-0005-0000-0000-0000CA000000}"/>
    <cellStyle name="Normal 2 2 2 4" xfId="165" xr:uid="{00000000-0005-0000-0000-0000CB000000}"/>
    <cellStyle name="Normal 2 2 3" xfId="166" xr:uid="{00000000-0005-0000-0000-0000CC000000}"/>
    <cellStyle name="Normal 2 2 4" xfId="167" xr:uid="{00000000-0005-0000-0000-0000CD000000}"/>
    <cellStyle name="Normal 2 2 5" xfId="168" xr:uid="{00000000-0005-0000-0000-0000CE000000}"/>
    <cellStyle name="Normal 2 2 6" xfId="169" xr:uid="{00000000-0005-0000-0000-0000CF000000}"/>
    <cellStyle name="Normal 2 2 7" xfId="170" xr:uid="{00000000-0005-0000-0000-0000D0000000}"/>
    <cellStyle name="Normal 2 3" xfId="171" xr:uid="{00000000-0005-0000-0000-0000D1000000}"/>
    <cellStyle name="Normal 2 3 2" xfId="172" xr:uid="{00000000-0005-0000-0000-0000D2000000}"/>
    <cellStyle name="Normal 2 3 3" xfId="173" xr:uid="{00000000-0005-0000-0000-0000D3000000}"/>
    <cellStyle name="Normal 2 3 4" xfId="174" xr:uid="{00000000-0005-0000-0000-0000D4000000}"/>
    <cellStyle name="Normal 2 4" xfId="175" xr:uid="{00000000-0005-0000-0000-0000D5000000}"/>
    <cellStyle name="Normal 2 4 2" xfId="176" xr:uid="{00000000-0005-0000-0000-0000D6000000}"/>
    <cellStyle name="Normal 2 4 3" xfId="177" xr:uid="{00000000-0005-0000-0000-0000D7000000}"/>
    <cellStyle name="Normal 2 4 4" xfId="178" xr:uid="{00000000-0005-0000-0000-0000D8000000}"/>
    <cellStyle name="Normal 2 5" xfId="179" xr:uid="{00000000-0005-0000-0000-0000D9000000}"/>
    <cellStyle name="Normal 2 5 2" xfId="180" xr:uid="{00000000-0005-0000-0000-0000DA000000}"/>
    <cellStyle name="Normal 2 5 3" xfId="181" xr:uid="{00000000-0005-0000-0000-0000DB000000}"/>
    <cellStyle name="Normal 2 5 4" xfId="182" xr:uid="{00000000-0005-0000-0000-0000DC000000}"/>
    <cellStyle name="Normal 2 6" xfId="183" xr:uid="{00000000-0005-0000-0000-0000DD000000}"/>
    <cellStyle name="Normal 2 6 2" xfId="184" xr:uid="{00000000-0005-0000-0000-0000DE000000}"/>
    <cellStyle name="Normal 2 6 3" xfId="185" xr:uid="{00000000-0005-0000-0000-0000DF000000}"/>
    <cellStyle name="Normal 2 6 4" xfId="186" xr:uid="{00000000-0005-0000-0000-0000E0000000}"/>
    <cellStyle name="Normal 2 7" xfId="187" xr:uid="{00000000-0005-0000-0000-0000E1000000}"/>
    <cellStyle name="Normal 2 7 2" xfId="188" xr:uid="{00000000-0005-0000-0000-0000E2000000}"/>
    <cellStyle name="Normal 2 7 3" xfId="189" xr:uid="{00000000-0005-0000-0000-0000E3000000}"/>
    <cellStyle name="Normal 2 7 4" xfId="190" xr:uid="{00000000-0005-0000-0000-0000E4000000}"/>
    <cellStyle name="Normal 2 8" xfId="191" xr:uid="{00000000-0005-0000-0000-0000E5000000}"/>
    <cellStyle name="Normal 2 8 2" xfId="192" xr:uid="{00000000-0005-0000-0000-0000E6000000}"/>
    <cellStyle name="Normal 2 8 3" xfId="193" xr:uid="{00000000-0005-0000-0000-0000E7000000}"/>
    <cellStyle name="Normal 2 8 4" xfId="194" xr:uid="{00000000-0005-0000-0000-0000E8000000}"/>
    <cellStyle name="Normal 2 9" xfId="195" xr:uid="{00000000-0005-0000-0000-0000E9000000}"/>
    <cellStyle name="Normal 2 9 2" xfId="196" xr:uid="{00000000-0005-0000-0000-0000EA000000}"/>
    <cellStyle name="Normal 2 9 3" xfId="197" xr:uid="{00000000-0005-0000-0000-0000EB000000}"/>
    <cellStyle name="Normal 2 9 4" xfId="198" xr:uid="{00000000-0005-0000-0000-0000EC000000}"/>
    <cellStyle name="Normal 28" xfId="430" xr:uid="{00000000-0005-0000-0000-0000ED000000}"/>
    <cellStyle name="Normal 28 2" xfId="429" xr:uid="{00000000-0005-0000-0000-0000EE000000}"/>
    <cellStyle name="Normal 3" xfId="199" xr:uid="{00000000-0005-0000-0000-0000EF000000}"/>
    <cellStyle name="Normal 3 2" xfId="200" xr:uid="{00000000-0005-0000-0000-0000F0000000}"/>
    <cellStyle name="Normal 3 2 2" xfId="48" xr:uid="{00000000-0005-0000-0000-0000F1000000}"/>
    <cellStyle name="Normal 3 2 2 2" xfId="201" xr:uid="{00000000-0005-0000-0000-0000F2000000}"/>
    <cellStyle name="Normal 3 2 2 3" xfId="202" xr:uid="{00000000-0005-0000-0000-0000F3000000}"/>
    <cellStyle name="Normal 3 2 3" xfId="203" xr:uid="{00000000-0005-0000-0000-0000F4000000}"/>
    <cellStyle name="Normal 3 2 4" xfId="204" xr:uid="{00000000-0005-0000-0000-0000F5000000}"/>
    <cellStyle name="Normal 3 3" xfId="205" xr:uid="{00000000-0005-0000-0000-0000F6000000}"/>
    <cellStyle name="Normal 3 3 2" xfId="428" xr:uid="{00000000-0005-0000-0000-0000F7000000}"/>
    <cellStyle name="Normal 32" xfId="427" xr:uid="{00000000-0005-0000-0000-0000F8000000}"/>
    <cellStyle name="Normal 32 2" xfId="426" xr:uid="{00000000-0005-0000-0000-0000F9000000}"/>
    <cellStyle name="Normal 34" xfId="425" xr:uid="{00000000-0005-0000-0000-0000FA000000}"/>
    <cellStyle name="Normal 34 2" xfId="424" xr:uid="{00000000-0005-0000-0000-0000FB000000}"/>
    <cellStyle name="Normal 36" xfId="423" xr:uid="{00000000-0005-0000-0000-0000FC000000}"/>
    <cellStyle name="Normal 36 2" xfId="422" xr:uid="{00000000-0005-0000-0000-0000FD000000}"/>
    <cellStyle name="Normal 4" xfId="206" xr:uid="{00000000-0005-0000-0000-0000FE000000}"/>
    <cellStyle name="Normal 4 2" xfId="207" xr:uid="{00000000-0005-0000-0000-0000FF000000}"/>
    <cellStyle name="Normal 4 3" xfId="208" xr:uid="{00000000-0005-0000-0000-000000010000}"/>
    <cellStyle name="Normal 4 4" xfId="209" xr:uid="{00000000-0005-0000-0000-000001010000}"/>
    <cellStyle name="Normal 42" xfId="421" xr:uid="{00000000-0005-0000-0000-000002010000}"/>
    <cellStyle name="Normal 42 2" xfId="420" xr:uid="{00000000-0005-0000-0000-000003010000}"/>
    <cellStyle name="Normal 49" xfId="419" xr:uid="{00000000-0005-0000-0000-000004010000}"/>
    <cellStyle name="Normal 49 2" xfId="418" xr:uid="{00000000-0005-0000-0000-000005010000}"/>
    <cellStyle name="Normal 49 3" xfId="417" xr:uid="{00000000-0005-0000-0000-000006010000}"/>
    <cellStyle name="Normal 5" xfId="210" xr:uid="{00000000-0005-0000-0000-000007010000}"/>
    <cellStyle name="Normal 5 10" xfId="211" xr:uid="{00000000-0005-0000-0000-000008010000}"/>
    <cellStyle name="Normal 5 11" xfId="212" xr:uid="{00000000-0005-0000-0000-000009010000}"/>
    <cellStyle name="Normal 5 12" xfId="213" xr:uid="{00000000-0005-0000-0000-00000A010000}"/>
    <cellStyle name="Normal 5 2" xfId="214" xr:uid="{00000000-0005-0000-0000-00000B010000}"/>
    <cellStyle name="Normal 5 2 2" xfId="215" xr:uid="{00000000-0005-0000-0000-00000C010000}"/>
    <cellStyle name="Normal 5 2 3" xfId="216" xr:uid="{00000000-0005-0000-0000-00000D010000}"/>
    <cellStyle name="Normal 5 2 4" xfId="217" xr:uid="{00000000-0005-0000-0000-00000E010000}"/>
    <cellStyle name="Normal 5 3" xfId="218" xr:uid="{00000000-0005-0000-0000-00000F010000}"/>
    <cellStyle name="Normal 5 3 2" xfId="219" xr:uid="{00000000-0005-0000-0000-000010010000}"/>
    <cellStyle name="Normal 5 3 3" xfId="220" xr:uid="{00000000-0005-0000-0000-000011010000}"/>
    <cellStyle name="Normal 5 3 4" xfId="221" xr:uid="{00000000-0005-0000-0000-000012010000}"/>
    <cellStyle name="Normal 5 4" xfId="222" xr:uid="{00000000-0005-0000-0000-000013010000}"/>
    <cellStyle name="Normal 5 4 2" xfId="223" xr:uid="{00000000-0005-0000-0000-000014010000}"/>
    <cellStyle name="Normal 5 4 3" xfId="224" xr:uid="{00000000-0005-0000-0000-000015010000}"/>
    <cellStyle name="Normal 5 4 4" xfId="225" xr:uid="{00000000-0005-0000-0000-000016010000}"/>
    <cellStyle name="Normal 5 5" xfId="226" xr:uid="{00000000-0005-0000-0000-000017010000}"/>
    <cellStyle name="Normal 5 5 2" xfId="227" xr:uid="{00000000-0005-0000-0000-000018010000}"/>
    <cellStyle name="Normal 5 5 3" xfId="228" xr:uid="{00000000-0005-0000-0000-000019010000}"/>
    <cellStyle name="Normal 5 5 4" xfId="229" xr:uid="{00000000-0005-0000-0000-00001A010000}"/>
    <cellStyle name="Normal 5 6" xfId="230" xr:uid="{00000000-0005-0000-0000-00001B010000}"/>
    <cellStyle name="Normal 5 6 2" xfId="231" xr:uid="{00000000-0005-0000-0000-00001C010000}"/>
    <cellStyle name="Normal 5 6 3" xfId="232" xr:uid="{00000000-0005-0000-0000-00001D010000}"/>
    <cellStyle name="Normal 5 6 4" xfId="233" xr:uid="{00000000-0005-0000-0000-00001E010000}"/>
    <cellStyle name="Normal 5 7" xfId="234" xr:uid="{00000000-0005-0000-0000-00001F010000}"/>
    <cellStyle name="Normal 5 7 2" xfId="235" xr:uid="{00000000-0005-0000-0000-000020010000}"/>
    <cellStyle name="Normal 5 7 3" xfId="236" xr:uid="{00000000-0005-0000-0000-000021010000}"/>
    <cellStyle name="Normal 5 7 4" xfId="237" xr:uid="{00000000-0005-0000-0000-000022010000}"/>
    <cellStyle name="Normal 5 8" xfId="238" xr:uid="{00000000-0005-0000-0000-000023010000}"/>
    <cellStyle name="Normal 5 9" xfId="239" xr:uid="{00000000-0005-0000-0000-000024010000}"/>
    <cellStyle name="Normal 6" xfId="240" xr:uid="{00000000-0005-0000-0000-000025010000}"/>
    <cellStyle name="Normal 6 10" xfId="241" xr:uid="{00000000-0005-0000-0000-000026010000}"/>
    <cellStyle name="Normal 6 2" xfId="242" xr:uid="{00000000-0005-0000-0000-000027010000}"/>
    <cellStyle name="Normal 6 2 2" xfId="243" xr:uid="{00000000-0005-0000-0000-000028010000}"/>
    <cellStyle name="Normal 6 2 3" xfId="244" xr:uid="{00000000-0005-0000-0000-000029010000}"/>
    <cellStyle name="Normal 6 2 4" xfId="245" xr:uid="{00000000-0005-0000-0000-00002A010000}"/>
    <cellStyle name="Normal 6 3" xfId="246" xr:uid="{00000000-0005-0000-0000-00002B010000}"/>
    <cellStyle name="Normal 6 3 2" xfId="247" xr:uid="{00000000-0005-0000-0000-00002C010000}"/>
    <cellStyle name="Normal 6 3 3" xfId="248" xr:uid="{00000000-0005-0000-0000-00002D010000}"/>
    <cellStyle name="Normal 6 3 4" xfId="249" xr:uid="{00000000-0005-0000-0000-00002E010000}"/>
    <cellStyle name="Normal 6 4" xfId="250" xr:uid="{00000000-0005-0000-0000-00002F010000}"/>
    <cellStyle name="Normal 6 4 2" xfId="251" xr:uid="{00000000-0005-0000-0000-000030010000}"/>
    <cellStyle name="Normal 6 4 3" xfId="252" xr:uid="{00000000-0005-0000-0000-000031010000}"/>
    <cellStyle name="Normal 6 4 4" xfId="253" xr:uid="{00000000-0005-0000-0000-000032010000}"/>
    <cellStyle name="Normal 6 5" xfId="254" xr:uid="{00000000-0005-0000-0000-000033010000}"/>
    <cellStyle name="Normal 6 5 2" xfId="255" xr:uid="{00000000-0005-0000-0000-000034010000}"/>
    <cellStyle name="Normal 6 5 3" xfId="256" xr:uid="{00000000-0005-0000-0000-000035010000}"/>
    <cellStyle name="Normal 6 5 4" xfId="257" xr:uid="{00000000-0005-0000-0000-000036010000}"/>
    <cellStyle name="Normal 6 6" xfId="258" xr:uid="{00000000-0005-0000-0000-000037010000}"/>
    <cellStyle name="Normal 6 6 2" xfId="259" xr:uid="{00000000-0005-0000-0000-000038010000}"/>
    <cellStyle name="Normal 6 6 3" xfId="260" xr:uid="{00000000-0005-0000-0000-000039010000}"/>
    <cellStyle name="Normal 6 6 4" xfId="261" xr:uid="{00000000-0005-0000-0000-00003A010000}"/>
    <cellStyle name="Normal 6 7" xfId="262" xr:uid="{00000000-0005-0000-0000-00003B010000}"/>
    <cellStyle name="Normal 6 7 2" xfId="263" xr:uid="{00000000-0005-0000-0000-00003C010000}"/>
    <cellStyle name="Normal 6 7 3" xfId="264" xr:uid="{00000000-0005-0000-0000-00003D010000}"/>
    <cellStyle name="Normal 6 7 4" xfId="265" xr:uid="{00000000-0005-0000-0000-00003E010000}"/>
    <cellStyle name="Normal 6 8" xfId="266" xr:uid="{00000000-0005-0000-0000-00003F010000}"/>
    <cellStyle name="Normal 6 9" xfId="267" xr:uid="{00000000-0005-0000-0000-000040010000}"/>
    <cellStyle name="Normal 69 2" xfId="416" xr:uid="{00000000-0005-0000-0000-000041010000}"/>
    <cellStyle name="Normal 7" xfId="268" xr:uid="{00000000-0005-0000-0000-000042010000}"/>
    <cellStyle name="Normal 7 10" xfId="269" xr:uid="{00000000-0005-0000-0000-000043010000}"/>
    <cellStyle name="Normal 7 2" xfId="270" xr:uid="{00000000-0005-0000-0000-000044010000}"/>
    <cellStyle name="Normal 7 2 2" xfId="271" xr:uid="{00000000-0005-0000-0000-000045010000}"/>
    <cellStyle name="Normal 7 2 3" xfId="272" xr:uid="{00000000-0005-0000-0000-000046010000}"/>
    <cellStyle name="Normal 7 2 4" xfId="273" xr:uid="{00000000-0005-0000-0000-000047010000}"/>
    <cellStyle name="Normal 7 3" xfId="274" xr:uid="{00000000-0005-0000-0000-000048010000}"/>
    <cellStyle name="Normal 7 3 2" xfId="275" xr:uid="{00000000-0005-0000-0000-000049010000}"/>
    <cellStyle name="Normal 7 3 3" xfId="276" xr:uid="{00000000-0005-0000-0000-00004A010000}"/>
    <cellStyle name="Normal 7 3 4" xfId="277" xr:uid="{00000000-0005-0000-0000-00004B010000}"/>
    <cellStyle name="Normal 7 4" xfId="278" xr:uid="{00000000-0005-0000-0000-00004C010000}"/>
    <cellStyle name="Normal 7 4 2" xfId="279" xr:uid="{00000000-0005-0000-0000-00004D010000}"/>
    <cellStyle name="Normal 7 4 3" xfId="280" xr:uid="{00000000-0005-0000-0000-00004E010000}"/>
    <cellStyle name="Normal 7 4 4" xfId="281" xr:uid="{00000000-0005-0000-0000-00004F010000}"/>
    <cellStyle name="Normal 7 5" xfId="282" xr:uid="{00000000-0005-0000-0000-000050010000}"/>
    <cellStyle name="Normal 7 5 2" xfId="283" xr:uid="{00000000-0005-0000-0000-000051010000}"/>
    <cellStyle name="Normal 7 5 3" xfId="284" xr:uid="{00000000-0005-0000-0000-000052010000}"/>
    <cellStyle name="Normal 7 5 4" xfId="285" xr:uid="{00000000-0005-0000-0000-000053010000}"/>
    <cellStyle name="Normal 7 6" xfId="286" xr:uid="{00000000-0005-0000-0000-000054010000}"/>
    <cellStyle name="Normal 7 6 2" xfId="287" xr:uid="{00000000-0005-0000-0000-000055010000}"/>
    <cellStyle name="Normal 7 6 3" xfId="288" xr:uid="{00000000-0005-0000-0000-000056010000}"/>
    <cellStyle name="Normal 7 6 4" xfId="289" xr:uid="{00000000-0005-0000-0000-000057010000}"/>
    <cellStyle name="Normal 7 7" xfId="290" xr:uid="{00000000-0005-0000-0000-000058010000}"/>
    <cellStyle name="Normal 7 7 2" xfId="291" xr:uid="{00000000-0005-0000-0000-000059010000}"/>
    <cellStyle name="Normal 7 7 3" xfId="292" xr:uid="{00000000-0005-0000-0000-00005A010000}"/>
    <cellStyle name="Normal 7 7 4" xfId="293" xr:uid="{00000000-0005-0000-0000-00005B010000}"/>
    <cellStyle name="Normal 7 8" xfId="294" xr:uid="{00000000-0005-0000-0000-00005C010000}"/>
    <cellStyle name="Normal 7 9" xfId="295" xr:uid="{00000000-0005-0000-0000-00005D010000}"/>
    <cellStyle name="Normal 70" xfId="415" xr:uid="{00000000-0005-0000-0000-00005E010000}"/>
    <cellStyle name="Normal 70 2" xfId="414" xr:uid="{00000000-0005-0000-0000-00005F010000}"/>
    <cellStyle name="Normal 70 3" xfId="413" xr:uid="{00000000-0005-0000-0000-000060010000}"/>
    <cellStyle name="Normal 8" xfId="296" xr:uid="{00000000-0005-0000-0000-000061010000}"/>
    <cellStyle name="Normal 8 2" xfId="297" xr:uid="{00000000-0005-0000-0000-000062010000}"/>
    <cellStyle name="Normal 8 2 2" xfId="298" xr:uid="{00000000-0005-0000-0000-000063010000}"/>
    <cellStyle name="Normal 8 2 3" xfId="299" xr:uid="{00000000-0005-0000-0000-000064010000}"/>
    <cellStyle name="Normal 8 2 4" xfId="300" xr:uid="{00000000-0005-0000-0000-000065010000}"/>
    <cellStyle name="Normal 8 3" xfId="301" xr:uid="{00000000-0005-0000-0000-000066010000}"/>
    <cellStyle name="Normal 8 3 2" xfId="302" xr:uid="{00000000-0005-0000-0000-000067010000}"/>
    <cellStyle name="Normal 8 3 3" xfId="303" xr:uid="{00000000-0005-0000-0000-000068010000}"/>
    <cellStyle name="Normal 8 3 4" xfId="304" xr:uid="{00000000-0005-0000-0000-000069010000}"/>
    <cellStyle name="Normal 8 4" xfId="305" xr:uid="{00000000-0005-0000-0000-00006A010000}"/>
    <cellStyle name="Normal 8 4 2" xfId="306" xr:uid="{00000000-0005-0000-0000-00006B010000}"/>
    <cellStyle name="Normal 8 4 3" xfId="307" xr:uid="{00000000-0005-0000-0000-00006C010000}"/>
    <cellStyle name="Normal 8 4 4" xfId="308" xr:uid="{00000000-0005-0000-0000-00006D010000}"/>
    <cellStyle name="Normal 8 5" xfId="309" xr:uid="{00000000-0005-0000-0000-00006E010000}"/>
    <cellStyle name="Normal 8 6" xfId="310" xr:uid="{00000000-0005-0000-0000-00006F010000}"/>
    <cellStyle name="Normal 8 7" xfId="311" xr:uid="{00000000-0005-0000-0000-000070010000}"/>
    <cellStyle name="Normal 9" xfId="312" xr:uid="{00000000-0005-0000-0000-000071010000}"/>
    <cellStyle name="Normal 9 2" xfId="313" xr:uid="{00000000-0005-0000-0000-000072010000}"/>
    <cellStyle name="Normal 9 2 2" xfId="314" xr:uid="{00000000-0005-0000-0000-000073010000}"/>
    <cellStyle name="Normal 9 2 3" xfId="315" xr:uid="{00000000-0005-0000-0000-000074010000}"/>
    <cellStyle name="Normal 9 2 4" xfId="316" xr:uid="{00000000-0005-0000-0000-000075010000}"/>
    <cellStyle name="Normal 9 3" xfId="317" xr:uid="{00000000-0005-0000-0000-000076010000}"/>
    <cellStyle name="Normal 9 3 2" xfId="318" xr:uid="{00000000-0005-0000-0000-000077010000}"/>
    <cellStyle name="Normal 9 3 3" xfId="319" xr:uid="{00000000-0005-0000-0000-000078010000}"/>
    <cellStyle name="Normal 9 3 4" xfId="320" xr:uid="{00000000-0005-0000-0000-000079010000}"/>
    <cellStyle name="Normal 9 4" xfId="321" xr:uid="{00000000-0005-0000-0000-00007A010000}"/>
    <cellStyle name="Normal 9 4 2" xfId="322" xr:uid="{00000000-0005-0000-0000-00007B010000}"/>
    <cellStyle name="Normal 9 4 3" xfId="323" xr:uid="{00000000-0005-0000-0000-00007C010000}"/>
    <cellStyle name="Normal 9 4 4" xfId="324" xr:uid="{00000000-0005-0000-0000-00007D010000}"/>
    <cellStyle name="Normal 9 5" xfId="325" xr:uid="{00000000-0005-0000-0000-00007E010000}"/>
    <cellStyle name="Normal 9 6" xfId="326" xr:uid="{00000000-0005-0000-0000-00007F010000}"/>
    <cellStyle name="Normal 9 7" xfId="327" xr:uid="{00000000-0005-0000-0000-000080010000}"/>
    <cellStyle name="Note" xfId="20" builtinId="10" customBuiltin="1"/>
    <cellStyle name="Note 10" xfId="328" xr:uid="{00000000-0005-0000-0000-000082010000}"/>
    <cellStyle name="Note 11" xfId="329" xr:uid="{00000000-0005-0000-0000-000083010000}"/>
    <cellStyle name="Note 12" xfId="330" xr:uid="{00000000-0005-0000-0000-000084010000}"/>
    <cellStyle name="Note 2" xfId="331" xr:uid="{00000000-0005-0000-0000-000085010000}"/>
    <cellStyle name="Note 3" xfId="332" xr:uid="{00000000-0005-0000-0000-000086010000}"/>
    <cellStyle name="Note 4" xfId="333" xr:uid="{00000000-0005-0000-0000-000087010000}"/>
    <cellStyle name="Note 5" xfId="334" xr:uid="{00000000-0005-0000-0000-000088010000}"/>
    <cellStyle name="Note 6" xfId="335" xr:uid="{00000000-0005-0000-0000-000089010000}"/>
    <cellStyle name="Note 7" xfId="336" xr:uid="{00000000-0005-0000-0000-00008A010000}"/>
    <cellStyle name="Note 8" xfId="337" xr:uid="{00000000-0005-0000-0000-00008B010000}"/>
    <cellStyle name="Note 9" xfId="338" xr:uid="{00000000-0005-0000-0000-00008C010000}"/>
    <cellStyle name="Output" xfId="15" builtinId="21" customBuiltin="1"/>
    <cellStyle name="Percent" xfId="4" builtinId="5"/>
    <cellStyle name="Percent 2" xfId="339" xr:uid="{00000000-0005-0000-0000-00008F010000}"/>
    <cellStyle name="Percent 2 10" xfId="340" xr:uid="{00000000-0005-0000-0000-000090010000}"/>
    <cellStyle name="Percent 2 11" xfId="341" xr:uid="{00000000-0005-0000-0000-000091010000}"/>
    <cellStyle name="Percent 2 2" xfId="342" xr:uid="{00000000-0005-0000-0000-000092010000}"/>
    <cellStyle name="Percent 2 3" xfId="343" xr:uid="{00000000-0005-0000-0000-000093010000}"/>
    <cellStyle name="Percent 2 3 2" xfId="412" xr:uid="{00000000-0005-0000-0000-000094010000}"/>
    <cellStyle name="Percent 2 4" xfId="344" xr:uid="{00000000-0005-0000-0000-000095010000}"/>
    <cellStyle name="Percent 2 5" xfId="345" xr:uid="{00000000-0005-0000-0000-000096010000}"/>
    <cellStyle name="Percent 2 6" xfId="346" xr:uid="{00000000-0005-0000-0000-000097010000}"/>
    <cellStyle name="Percent 2 7" xfId="347" xr:uid="{00000000-0005-0000-0000-000098010000}"/>
    <cellStyle name="Percent 2 8" xfId="348" xr:uid="{00000000-0005-0000-0000-000099010000}"/>
    <cellStyle name="Percent 2 9" xfId="349" xr:uid="{00000000-0005-0000-0000-00009A010000}"/>
    <cellStyle name="Percent 3" xfId="350" xr:uid="{00000000-0005-0000-0000-00009B010000}"/>
    <cellStyle name="Percent 3 2" xfId="351" xr:uid="{00000000-0005-0000-0000-00009C010000}"/>
    <cellStyle name="Percent 3 3" xfId="352" xr:uid="{00000000-0005-0000-0000-00009D010000}"/>
    <cellStyle name="Percent 3 4" xfId="353" xr:uid="{00000000-0005-0000-0000-00009E010000}"/>
    <cellStyle name="Percent 3 5" xfId="354" xr:uid="{00000000-0005-0000-0000-00009F010000}"/>
    <cellStyle name="Percent 3 6" xfId="355" xr:uid="{00000000-0005-0000-0000-0000A0010000}"/>
    <cellStyle name="Percent 3 7" xfId="356" xr:uid="{00000000-0005-0000-0000-0000A1010000}"/>
    <cellStyle name="Percent 4" xfId="357" xr:uid="{00000000-0005-0000-0000-0000A2010000}"/>
    <cellStyle name="Percent 4 2" xfId="358" xr:uid="{00000000-0005-0000-0000-0000A3010000}"/>
    <cellStyle name="Percent 4 3" xfId="359" xr:uid="{00000000-0005-0000-0000-0000A4010000}"/>
    <cellStyle name="Percent 4 4" xfId="360" xr:uid="{00000000-0005-0000-0000-0000A5010000}"/>
    <cellStyle name="Percent 4 5" xfId="361" xr:uid="{00000000-0005-0000-0000-0000A6010000}"/>
    <cellStyle name="Percent 4 6" xfId="362" xr:uid="{00000000-0005-0000-0000-0000A7010000}"/>
    <cellStyle name="Percent 4 7" xfId="363" xr:uid="{00000000-0005-0000-0000-0000A8010000}"/>
    <cellStyle name="Percent 5" xfId="364" xr:uid="{00000000-0005-0000-0000-0000A9010000}"/>
    <cellStyle name="Percent 6" xfId="365" xr:uid="{00000000-0005-0000-0000-0000AA010000}"/>
    <cellStyle name="Pourcentage 2" xfId="411" xr:uid="{00000000-0005-0000-0000-0000AB010000}"/>
    <cellStyle name="SAPBEXaggData" xfId="410" xr:uid="{00000000-0005-0000-0000-0000AC010000}"/>
    <cellStyle name="SAPBEXaggDataEmph" xfId="409" xr:uid="{00000000-0005-0000-0000-0000AD010000}"/>
    <cellStyle name="SAPBEXaggItem" xfId="408" xr:uid="{00000000-0005-0000-0000-0000AE010000}"/>
    <cellStyle name="SAPBEXaggItemX" xfId="407" xr:uid="{00000000-0005-0000-0000-0000AF010000}"/>
    <cellStyle name="SAPBEXchaText" xfId="406" xr:uid="{00000000-0005-0000-0000-0000B0010000}"/>
    <cellStyle name="SAPBEXexcBad7" xfId="405" xr:uid="{00000000-0005-0000-0000-0000B1010000}"/>
    <cellStyle name="SAPBEXexcBad8" xfId="404" xr:uid="{00000000-0005-0000-0000-0000B2010000}"/>
    <cellStyle name="SAPBEXexcBad9" xfId="403" xr:uid="{00000000-0005-0000-0000-0000B3010000}"/>
    <cellStyle name="SAPBEXexcCritical4" xfId="402" xr:uid="{00000000-0005-0000-0000-0000B4010000}"/>
    <cellStyle name="SAPBEXexcCritical5" xfId="401" xr:uid="{00000000-0005-0000-0000-0000B5010000}"/>
    <cellStyle name="SAPBEXexcCritical6" xfId="400" xr:uid="{00000000-0005-0000-0000-0000B6010000}"/>
    <cellStyle name="SAPBEXexcGood1" xfId="399" xr:uid="{00000000-0005-0000-0000-0000B7010000}"/>
    <cellStyle name="SAPBEXexcGood2" xfId="398" xr:uid="{00000000-0005-0000-0000-0000B8010000}"/>
    <cellStyle name="SAPBEXexcGood3" xfId="397" xr:uid="{00000000-0005-0000-0000-0000B9010000}"/>
    <cellStyle name="SAPBEXfilterDrill" xfId="396" xr:uid="{00000000-0005-0000-0000-0000BA010000}"/>
    <cellStyle name="SAPBEXfilterItem" xfId="395" xr:uid="{00000000-0005-0000-0000-0000BB010000}"/>
    <cellStyle name="SAPBEXfilterText" xfId="394" xr:uid="{00000000-0005-0000-0000-0000BC010000}"/>
    <cellStyle name="SAPBEXformats" xfId="393" xr:uid="{00000000-0005-0000-0000-0000BD010000}"/>
    <cellStyle name="SAPBEXheaderItem" xfId="392" xr:uid="{00000000-0005-0000-0000-0000BE010000}"/>
    <cellStyle name="SAPBEXheaderText" xfId="391" xr:uid="{00000000-0005-0000-0000-0000BF010000}"/>
    <cellStyle name="SAPBEXHLevel0" xfId="390" xr:uid="{00000000-0005-0000-0000-0000C0010000}"/>
    <cellStyle name="SAPBEXHLevel0X" xfId="389" xr:uid="{00000000-0005-0000-0000-0000C1010000}"/>
    <cellStyle name="SAPBEXHLevel1" xfId="388" xr:uid="{00000000-0005-0000-0000-0000C2010000}"/>
    <cellStyle name="SAPBEXHLevel1X" xfId="387" xr:uid="{00000000-0005-0000-0000-0000C3010000}"/>
    <cellStyle name="SAPBEXHLevel2" xfId="386" xr:uid="{00000000-0005-0000-0000-0000C4010000}"/>
    <cellStyle name="SAPBEXHLevel2X" xfId="385" xr:uid="{00000000-0005-0000-0000-0000C5010000}"/>
    <cellStyle name="SAPBEXHLevel3" xfId="384" xr:uid="{00000000-0005-0000-0000-0000C6010000}"/>
    <cellStyle name="SAPBEXHLevel3X" xfId="383" xr:uid="{00000000-0005-0000-0000-0000C7010000}"/>
    <cellStyle name="SAPBEXinputData" xfId="382" xr:uid="{00000000-0005-0000-0000-0000C8010000}"/>
    <cellStyle name="SAPBEXItemHeader" xfId="381" xr:uid="{00000000-0005-0000-0000-0000C9010000}"/>
    <cellStyle name="SAPBEXresData" xfId="380" xr:uid="{00000000-0005-0000-0000-0000CA010000}"/>
    <cellStyle name="SAPBEXresDataEmph" xfId="379" xr:uid="{00000000-0005-0000-0000-0000CB010000}"/>
    <cellStyle name="SAPBEXresItem" xfId="378" xr:uid="{00000000-0005-0000-0000-0000CC010000}"/>
    <cellStyle name="SAPBEXresItemX" xfId="377" xr:uid="{00000000-0005-0000-0000-0000CD010000}"/>
    <cellStyle name="SAPBEXstdData" xfId="376" xr:uid="{00000000-0005-0000-0000-0000CE010000}"/>
    <cellStyle name="SAPBEXstdDataEmph" xfId="375" xr:uid="{00000000-0005-0000-0000-0000CF010000}"/>
    <cellStyle name="SAPBEXstdItem" xfId="374" xr:uid="{00000000-0005-0000-0000-0000D0010000}"/>
    <cellStyle name="SAPBEXstdItemX" xfId="373" xr:uid="{00000000-0005-0000-0000-0000D1010000}"/>
    <cellStyle name="SAPBEXtitle" xfId="372" xr:uid="{00000000-0005-0000-0000-0000D2010000}"/>
    <cellStyle name="SAPBEXunassignedItem" xfId="371" xr:uid="{00000000-0005-0000-0000-0000D3010000}"/>
    <cellStyle name="SAPBEXundefined" xfId="370" xr:uid="{00000000-0005-0000-0000-0000D4010000}"/>
    <cellStyle name="Sheet Title" xfId="369" xr:uid="{00000000-0005-0000-0000-0000D5010000}"/>
    <cellStyle name="Source Text" xfId="368" xr:uid="{00000000-0005-0000-0000-0000D6010000}"/>
    <cellStyle name="Title" xfId="6" builtinId="15" customBuiltin="1"/>
    <cellStyle name="Title 2" xfId="367" xr:uid="{00000000-0005-0000-0000-0000D8010000}"/>
    <cellStyle name="Total" xfId="22" builtinId="25" customBuiltin="1"/>
    <cellStyle name="Warning Text" xfId="19" builtinId="11" customBuiltin="1"/>
    <cellStyle name="Y.check" xfId="366" xr:uid="{00000000-0005-0000-0000-0000DB010000}"/>
  </cellStyles>
  <dxfs count="0"/>
  <tableStyles count="0" defaultTableStyle="TableStyleMedium2" defaultPivotStyle="PivotStyleLight16"/>
  <colors>
    <mruColors>
      <color rgb="FFFFFFBD"/>
      <color rgb="FFFFFF8B"/>
      <color rgb="FFCDE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9" Type="http://schemas.openxmlformats.org/officeDocument/2006/relationships/externalLink" Target="externalLinks/externalLink14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9.xml"/><Relationship Id="rId42" Type="http://schemas.openxmlformats.org/officeDocument/2006/relationships/externalLink" Target="externalLinks/externalLink17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4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7.xml"/><Relationship Id="rId37" Type="http://schemas.openxmlformats.org/officeDocument/2006/relationships/externalLink" Target="externalLinks/externalLink12.xml"/><Relationship Id="rId40" Type="http://schemas.openxmlformats.org/officeDocument/2006/relationships/externalLink" Target="externalLinks/externalLink15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36" Type="http://schemas.openxmlformats.org/officeDocument/2006/relationships/externalLink" Target="externalLinks/externalLink11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6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externalLink" Target="externalLinks/externalLink10.xml"/><Relationship Id="rId43" Type="http://schemas.openxmlformats.org/officeDocument/2006/relationships/externalLink" Target="externalLinks/externalLink18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8.xml"/><Relationship Id="rId38" Type="http://schemas.openxmlformats.org/officeDocument/2006/relationships/externalLink" Target="externalLinks/externalLink13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514350</xdr:colOff>
      <xdr:row>1</xdr:row>
      <xdr:rowOff>104774</xdr:rowOff>
    </xdr:from>
    <xdr:ext cx="2828571" cy="4800601"/>
    <xdr:pic>
      <xdr:nvPicPr>
        <xdr:cNvPr id="3" name="Picture 2">
          <a:extLst>
            <a:ext uri="{FF2B5EF4-FFF2-40B4-BE49-F238E27FC236}">
              <a16:creationId xmlns:a16="http://schemas.microsoft.com/office/drawing/2014/main" id="{0A9690EA-DF00-468D-8F2E-9F3B07C73D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542" b="68561"/>
        <a:stretch/>
      </xdr:blipFill>
      <xdr:spPr>
        <a:xfrm>
          <a:off x="3562350" y="295274"/>
          <a:ext cx="2828571" cy="4800601"/>
        </a:xfrm>
        <a:prstGeom prst="rect">
          <a:avLst/>
        </a:prstGeom>
      </xdr:spPr>
    </xdr:pic>
    <xdr:clientData/>
  </xdr:oneCellAnchor>
  <xdr:oneCellAnchor>
    <xdr:from>
      <xdr:col>15</xdr:col>
      <xdr:colOff>0</xdr:colOff>
      <xdr:row>2</xdr:row>
      <xdr:rowOff>0</xdr:rowOff>
    </xdr:from>
    <xdr:ext cx="4600000" cy="4228571"/>
    <xdr:pic>
      <xdr:nvPicPr>
        <xdr:cNvPr id="4" name="Picture 3">
          <a:extLst>
            <a:ext uri="{FF2B5EF4-FFF2-40B4-BE49-F238E27FC236}">
              <a16:creationId xmlns:a16="http://schemas.microsoft.com/office/drawing/2014/main" id="{FF2A9874-2F13-499A-A282-D0AD0F98C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53600" y="381000"/>
          <a:ext cx="4600000" cy="4228571"/>
        </a:xfrm>
        <a:prstGeom prst="rect">
          <a:avLst/>
        </a:prstGeom>
      </xdr:spPr>
    </xdr:pic>
    <xdr:clientData/>
  </xdr:oneCellAnchor>
  <xdr:oneCellAnchor>
    <xdr:from>
      <xdr:col>0</xdr:col>
      <xdr:colOff>542925</xdr:colOff>
      <xdr:row>0</xdr:row>
      <xdr:rowOff>180975</xdr:rowOff>
    </xdr:from>
    <xdr:ext cx="2676190" cy="4933948"/>
    <xdr:pic>
      <xdr:nvPicPr>
        <xdr:cNvPr id="5" name="Picture 4">
          <a:extLst>
            <a:ext uri="{FF2B5EF4-FFF2-40B4-BE49-F238E27FC236}">
              <a16:creationId xmlns:a16="http://schemas.microsoft.com/office/drawing/2014/main" id="{F1DC613E-C35C-46D3-827A-631BBDF687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" b="73405"/>
        <a:stretch/>
      </xdr:blipFill>
      <xdr:spPr>
        <a:xfrm>
          <a:off x="542925" y="180975"/>
          <a:ext cx="2676190" cy="493394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523875</xdr:colOff>
      <xdr:row>13</xdr:row>
      <xdr:rowOff>0</xdr:rowOff>
    </xdr:from>
    <xdr:to>
      <xdr:col>54</xdr:col>
      <xdr:colOff>285750</xdr:colOff>
      <xdr:row>28</xdr:row>
      <xdr:rowOff>7596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631AA7-73C1-4A09-ABFA-C9C7F178F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2524125"/>
          <a:ext cx="5248275" cy="2865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533401</xdr:colOff>
      <xdr:row>29</xdr:row>
      <xdr:rowOff>38101</xdr:rowOff>
    </xdr:from>
    <xdr:to>
      <xdr:col>53</xdr:col>
      <xdr:colOff>1</xdr:colOff>
      <xdr:row>45</xdr:row>
      <xdr:rowOff>6541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66492D-F58A-4805-BC94-1599031B6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9951" y="5610226"/>
          <a:ext cx="4343400" cy="3016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411479</xdr:colOff>
      <xdr:row>2</xdr:row>
      <xdr:rowOff>26924</xdr:rowOff>
    </xdr:from>
    <xdr:to>
      <xdr:col>26</xdr:col>
      <xdr:colOff>523239</xdr:colOff>
      <xdr:row>2</xdr:row>
      <xdr:rowOff>129159</xdr:rowOff>
    </xdr:to>
    <xdr:sp macro="" textlink="">
      <xdr:nvSpPr>
        <xdr:cNvPr id="2" name="Shape 18">
          <a:extLst>
            <a:ext uri="{FF2B5EF4-FFF2-40B4-BE49-F238E27FC236}">
              <a16:creationId xmlns:a16="http://schemas.microsoft.com/office/drawing/2014/main" id="{B866CFE7-09B6-4CCC-8E43-455F99570BEE}"/>
            </a:ext>
          </a:extLst>
        </xdr:cNvPr>
        <xdr:cNvSpPr/>
      </xdr:nvSpPr>
      <xdr:spPr>
        <a:xfrm>
          <a:off x="18156554" y="407924"/>
          <a:ext cx="111760" cy="102235"/>
        </a:xfrm>
        <a:custGeom>
          <a:avLst/>
          <a:gdLst/>
          <a:ahLst/>
          <a:cxnLst/>
          <a:rect l="0" t="0" r="0" b="0"/>
          <a:pathLst>
            <a:path w="102235" h="102235">
              <a:moveTo>
                <a:pt x="0" y="102108"/>
              </a:moveTo>
              <a:lnTo>
                <a:pt x="102107" y="102108"/>
              </a:lnTo>
              <a:lnTo>
                <a:pt x="102107" y="0"/>
              </a:lnTo>
              <a:lnTo>
                <a:pt x="0" y="0"/>
              </a:lnTo>
              <a:lnTo>
                <a:pt x="0" y="102108"/>
              </a:lnTo>
              <a:close/>
            </a:path>
          </a:pathLst>
        </a:custGeom>
        <a:ln w="9144">
          <a:solidFill>
            <a:srgbClr val="000000"/>
          </a:solidFill>
        </a:ln>
      </xdr:spPr>
    </xdr:sp>
    <xdr:clientData/>
  </xdr:twoCellAnchor>
  <xdr:twoCellAnchor editAs="oneCell">
    <xdr:from>
      <xdr:col>28</xdr:col>
      <xdr:colOff>467486</xdr:colOff>
      <xdr:row>2</xdr:row>
      <xdr:rowOff>36449</xdr:rowOff>
    </xdr:from>
    <xdr:to>
      <xdr:col>28</xdr:col>
      <xdr:colOff>569721</xdr:colOff>
      <xdr:row>2</xdr:row>
      <xdr:rowOff>138684</xdr:rowOff>
    </xdr:to>
    <xdr:sp macro="" textlink="">
      <xdr:nvSpPr>
        <xdr:cNvPr id="3" name="Shape 19">
          <a:extLst>
            <a:ext uri="{FF2B5EF4-FFF2-40B4-BE49-F238E27FC236}">
              <a16:creationId xmlns:a16="http://schemas.microsoft.com/office/drawing/2014/main" id="{D9CCBD64-84FB-4284-A9E3-90EEB1FEB52F}"/>
            </a:ext>
          </a:extLst>
        </xdr:cNvPr>
        <xdr:cNvSpPr/>
      </xdr:nvSpPr>
      <xdr:spPr>
        <a:xfrm>
          <a:off x="19450811" y="417449"/>
          <a:ext cx="102235" cy="102235"/>
        </a:xfrm>
        <a:custGeom>
          <a:avLst/>
          <a:gdLst/>
          <a:ahLst/>
          <a:cxnLst/>
          <a:rect l="0" t="0" r="0" b="0"/>
          <a:pathLst>
            <a:path w="102235" h="102235">
              <a:moveTo>
                <a:pt x="0" y="102108"/>
              </a:moveTo>
              <a:lnTo>
                <a:pt x="102108" y="102108"/>
              </a:lnTo>
              <a:lnTo>
                <a:pt x="102108" y="0"/>
              </a:lnTo>
              <a:lnTo>
                <a:pt x="0" y="0"/>
              </a:lnTo>
              <a:lnTo>
                <a:pt x="0" y="102108"/>
              </a:lnTo>
              <a:close/>
            </a:path>
          </a:pathLst>
        </a:custGeom>
        <a:ln w="9144">
          <a:solidFill>
            <a:srgbClr val="000000"/>
          </a:solidFill>
        </a:ln>
      </xdr:spPr>
    </xdr:sp>
    <xdr:clientData/>
  </xdr:twoCellAnchor>
  <xdr:twoCellAnchor editAs="oneCell">
    <xdr:from>
      <xdr:col>26</xdr:col>
      <xdr:colOff>527685</xdr:colOff>
      <xdr:row>3</xdr:row>
      <xdr:rowOff>39242</xdr:rowOff>
    </xdr:from>
    <xdr:to>
      <xdr:col>27</xdr:col>
      <xdr:colOff>10795</xdr:colOff>
      <xdr:row>3</xdr:row>
      <xdr:rowOff>141477</xdr:rowOff>
    </xdr:to>
    <xdr:sp macro="" textlink="">
      <xdr:nvSpPr>
        <xdr:cNvPr id="4" name="Shape 26">
          <a:extLst>
            <a:ext uri="{FF2B5EF4-FFF2-40B4-BE49-F238E27FC236}">
              <a16:creationId xmlns:a16="http://schemas.microsoft.com/office/drawing/2014/main" id="{D6740D68-DFD1-42A7-939C-B9CF71C83C3A}"/>
            </a:ext>
          </a:extLst>
        </xdr:cNvPr>
        <xdr:cNvSpPr/>
      </xdr:nvSpPr>
      <xdr:spPr>
        <a:xfrm>
          <a:off x="18272760" y="591692"/>
          <a:ext cx="102235" cy="102235"/>
        </a:xfrm>
        <a:custGeom>
          <a:avLst/>
          <a:gdLst/>
          <a:ahLst/>
          <a:cxnLst/>
          <a:rect l="0" t="0" r="0" b="0"/>
          <a:pathLst>
            <a:path w="102235" h="102235">
              <a:moveTo>
                <a:pt x="0" y="102108"/>
              </a:moveTo>
              <a:lnTo>
                <a:pt x="102107" y="102108"/>
              </a:lnTo>
              <a:lnTo>
                <a:pt x="102107" y="0"/>
              </a:lnTo>
              <a:lnTo>
                <a:pt x="0" y="0"/>
              </a:lnTo>
              <a:lnTo>
                <a:pt x="0" y="102108"/>
              </a:lnTo>
              <a:close/>
            </a:path>
          </a:pathLst>
        </a:custGeom>
        <a:ln w="9144">
          <a:solidFill>
            <a:srgbClr val="000000"/>
          </a:solidFill>
        </a:ln>
      </xdr:spPr>
    </xdr:sp>
    <xdr:clientData/>
  </xdr:twoCellAnchor>
  <xdr:twoCellAnchor editAs="oneCell">
    <xdr:from>
      <xdr:col>28</xdr:col>
      <xdr:colOff>393191</xdr:colOff>
      <xdr:row>3</xdr:row>
      <xdr:rowOff>28574</xdr:rowOff>
    </xdr:from>
    <xdr:to>
      <xdr:col>28</xdr:col>
      <xdr:colOff>495426</xdr:colOff>
      <xdr:row>3</xdr:row>
      <xdr:rowOff>130809</xdr:rowOff>
    </xdr:to>
    <xdr:sp macro="" textlink="">
      <xdr:nvSpPr>
        <xdr:cNvPr id="5" name="Shape 27">
          <a:extLst>
            <a:ext uri="{FF2B5EF4-FFF2-40B4-BE49-F238E27FC236}">
              <a16:creationId xmlns:a16="http://schemas.microsoft.com/office/drawing/2014/main" id="{FB2BD3B1-6E63-4830-B82A-F48DAE0137B9}"/>
            </a:ext>
          </a:extLst>
        </xdr:cNvPr>
        <xdr:cNvSpPr/>
      </xdr:nvSpPr>
      <xdr:spPr>
        <a:xfrm>
          <a:off x="19376516" y="581024"/>
          <a:ext cx="102235" cy="102235"/>
        </a:xfrm>
        <a:custGeom>
          <a:avLst/>
          <a:gdLst/>
          <a:ahLst/>
          <a:cxnLst/>
          <a:rect l="0" t="0" r="0" b="0"/>
          <a:pathLst>
            <a:path w="102235" h="102235">
              <a:moveTo>
                <a:pt x="0" y="102108"/>
              </a:moveTo>
              <a:lnTo>
                <a:pt x="102108" y="102108"/>
              </a:lnTo>
              <a:lnTo>
                <a:pt x="102108" y="0"/>
              </a:lnTo>
              <a:lnTo>
                <a:pt x="0" y="0"/>
              </a:lnTo>
              <a:lnTo>
                <a:pt x="0" y="102108"/>
              </a:lnTo>
              <a:close/>
            </a:path>
          </a:pathLst>
        </a:custGeom>
        <a:ln w="9144">
          <a:solidFill>
            <a:srgbClr val="000000"/>
          </a:solidFill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142875</xdr:colOff>
      <xdr:row>20</xdr:row>
      <xdr:rowOff>9525</xdr:rowOff>
    </xdr:to>
    <xdr:pic>
      <xdr:nvPicPr>
        <xdr:cNvPr id="2" name="Picture 1" descr="http://www.bea.gov/scb/_images/tblstrut.gif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337566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20</xdr:row>
      <xdr:rowOff>0</xdr:rowOff>
    </xdr:from>
    <xdr:to>
      <xdr:col>1</xdr:col>
      <xdr:colOff>295275</xdr:colOff>
      <xdr:row>20</xdr:row>
      <xdr:rowOff>9525</xdr:rowOff>
    </xdr:to>
    <xdr:pic>
      <xdr:nvPicPr>
        <xdr:cNvPr id="3" name="Picture 2" descr="http://www.bea.gov/scb/_images/tblstrut.gif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" y="337566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142875</xdr:colOff>
      <xdr:row>21</xdr:row>
      <xdr:rowOff>9525</xdr:rowOff>
    </xdr:to>
    <xdr:pic>
      <xdr:nvPicPr>
        <xdr:cNvPr id="4" name="Picture 3" descr="http://www.bea.gov/scb/_images/tblstrut.gif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353568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21</xdr:row>
      <xdr:rowOff>0</xdr:rowOff>
    </xdr:from>
    <xdr:to>
      <xdr:col>1</xdr:col>
      <xdr:colOff>295275</xdr:colOff>
      <xdr:row>21</xdr:row>
      <xdr:rowOff>9525</xdr:rowOff>
    </xdr:to>
    <xdr:pic>
      <xdr:nvPicPr>
        <xdr:cNvPr id="5" name="Picture 4" descr="http://www.bea.gov/scb/_images/tblstrut.gif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" y="353568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142875</xdr:colOff>
      <xdr:row>22</xdr:row>
      <xdr:rowOff>9525</xdr:rowOff>
    </xdr:to>
    <xdr:pic>
      <xdr:nvPicPr>
        <xdr:cNvPr id="6" name="Picture 5" descr="http://www.bea.gov/scb/_images/tblstrut.gif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369570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22</xdr:row>
      <xdr:rowOff>0</xdr:rowOff>
    </xdr:from>
    <xdr:to>
      <xdr:col>1</xdr:col>
      <xdr:colOff>295275</xdr:colOff>
      <xdr:row>22</xdr:row>
      <xdr:rowOff>9525</xdr:rowOff>
    </xdr:to>
    <xdr:pic>
      <xdr:nvPicPr>
        <xdr:cNvPr id="7" name="Picture 6" descr="http://www.bea.gov/scb/_images/tblstrut.gif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" y="369570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142875</xdr:colOff>
      <xdr:row>23</xdr:row>
      <xdr:rowOff>9525</xdr:rowOff>
    </xdr:to>
    <xdr:pic>
      <xdr:nvPicPr>
        <xdr:cNvPr id="8" name="Picture 7" descr="http://www.bea.gov/scb/_images/tblstrut.gif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385572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23</xdr:row>
      <xdr:rowOff>0</xdr:rowOff>
    </xdr:from>
    <xdr:to>
      <xdr:col>1</xdr:col>
      <xdr:colOff>295275</xdr:colOff>
      <xdr:row>23</xdr:row>
      <xdr:rowOff>9525</xdr:rowOff>
    </xdr:to>
    <xdr:pic>
      <xdr:nvPicPr>
        <xdr:cNvPr id="9" name="Picture 8" descr="http://www.bea.gov/scb/_images/tblstrut.gif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" y="385572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142875</xdr:colOff>
      <xdr:row>24</xdr:row>
      <xdr:rowOff>9525</xdr:rowOff>
    </xdr:to>
    <xdr:pic>
      <xdr:nvPicPr>
        <xdr:cNvPr id="10" name="Picture 9" descr="http://www.bea.gov/scb/_images/tblstrut.gif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401574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24</xdr:row>
      <xdr:rowOff>0</xdr:rowOff>
    </xdr:from>
    <xdr:to>
      <xdr:col>1</xdr:col>
      <xdr:colOff>295275</xdr:colOff>
      <xdr:row>24</xdr:row>
      <xdr:rowOff>9525</xdr:rowOff>
    </xdr:to>
    <xdr:pic>
      <xdr:nvPicPr>
        <xdr:cNvPr id="11" name="Picture 10" descr="http://www.bea.gov/scb/_images/tblstrut.gif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" y="401574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142875</xdr:colOff>
      <xdr:row>25</xdr:row>
      <xdr:rowOff>9525</xdr:rowOff>
    </xdr:to>
    <xdr:pic>
      <xdr:nvPicPr>
        <xdr:cNvPr id="12" name="Picture 11" descr="http://www.bea.gov/scb/_images/tblstrut.gif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417576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25</xdr:row>
      <xdr:rowOff>0</xdr:rowOff>
    </xdr:from>
    <xdr:to>
      <xdr:col>1</xdr:col>
      <xdr:colOff>295275</xdr:colOff>
      <xdr:row>25</xdr:row>
      <xdr:rowOff>9525</xdr:rowOff>
    </xdr:to>
    <xdr:pic>
      <xdr:nvPicPr>
        <xdr:cNvPr id="13" name="Picture 12" descr="http://www.bea.gov/scb/_images/tblstrut.gif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" y="4175760"/>
          <a:ext cx="14287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133351</xdr:colOff>
      <xdr:row>21</xdr:row>
      <xdr:rowOff>123825</xdr:rowOff>
    </xdr:from>
    <xdr:to>
      <xdr:col>13</xdr:col>
      <xdr:colOff>47626</xdr:colOff>
      <xdr:row>38</xdr:row>
      <xdr:rowOff>440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549BB42-BEE5-4A7B-8FD9-27234E5E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6" y="3686175"/>
          <a:ext cx="6610350" cy="266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FS\Exposure%20Packet%20as%20of%20February%202003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lington\arlington\CONTROLLER\Property%20Accounting\Reporting%20&amp;%20Analysis\Annual%20Reports\2006\R-1\330\Diverted%20W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elvin/Desktop/smelvin/Documents/Documents/Projects/Bidding%20Files/%252523Division%204B%20Bidding%20Files/950014/balance_she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01-Projects\91821%20NCDOT%20SPOT%206%20Initiation\NCDOT%20Deliverables\Intersection%20Analysis%20Utility%20(IAU)\IAU_2018_Gen3.3%20-%2011-21-20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b145489\Local%20Settings\Temporary%20Internet%20Files\OLKB2\Purchase%20Accounting%20Run%20Off%2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lington\arlington\Documents%20and%20Settings\b145489\Local%20Settings\Temporary%20Internet%20Files\OLKB2\Purchase%20Accounting%20Run%20Off%2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NT\Loco%20Depr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lington\arlington\WINNT\Loco%20Depr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rrent\CurrentProperty\2006%20Depr%20Recal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01-Projects\91509%20Stantec%20A-0009\BCA\BCA%20Traffic%20Analysis\Detour\A-0009%20TFU%20Detou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ONTROLLER\Plan\Debt1\Debt\Other\UAM_2750%20FY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lington\arlington\CONTROLLER\Plan\Debt1\Debt\Other\UAM_2750%20FY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N\MN%20-%20BNSF%20TIGER%202014\400-Technical\402%20BCA\New%20Analysis%20Network%20Grade%20Crossings\MGCAM12032009%20-%20Test42614_Staples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lington\arlington\MN\MN%20-%20BNSF%20TIGER%202014\400-Technical\402%20BCA\New%20Analysis%20Network%20Grade%20Crossings\MGCAM12032009%20-%20Test42614_Staples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lington\arlington\Users\SanthanamS\Documents\Projects\ECON_ARL\US76-MS-INFRA\template\WisDOT_MARS_CRIS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ONTROLLER\AcctFin%20Report\Internal%20Rptg\CBS\2009\4th%20Quarter\CBS%20-%20Q4%20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CDOT%20INFRA%202019\O&amp;M\I-95%20Maintenance%20Cost%20I-95%20Exit%2013%20to%20Exit%2019%20existing%20(00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ONTROLLER\Property%20Accounting\Reporting%20&amp;%20Analysis\Annual%20Reports\2006\R-1\330\Diverted%20W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-1 Portfolio Selling Costs"/>
      <sheetName val="A-2 Asset Disposition - Road"/>
      <sheetName val="A-2A Equipment Disposition"/>
      <sheetName val="A-2B Asset Disposition - Equip"/>
      <sheetName val="A-2B Equipment Disposition"/>
      <sheetName val="A-2C Amory South"/>
      <sheetName val="A-3 Star Lake Railroad"/>
      <sheetName val="A-4 At&amp;T Easement Refund"/>
      <sheetName val="A-5 Loco Overhal Accrual"/>
      <sheetName val="A-5a Overhaul Accrl"/>
      <sheetName val="A-6 CBM"/>
      <sheetName val="A-6a CBM Accounting Issues"/>
      <sheetName val="A-7 Depreciation Expense"/>
      <sheetName val="A-7a 2003 Depreciation"/>
      <sheetName val="A-8 Depr Rate Study"/>
      <sheetName val="A-7c Road Retirements"/>
      <sheetName val="A-7d Equip Retirements"/>
      <sheetName val="A-9 ARO"/>
      <sheetName val="A-10 Easement Sales"/>
      <sheetName val="A-11 Balance Sheet Recons"/>
      <sheetName val="A-11a Balance Sheet Recons"/>
      <sheetName val="DataValid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11">
          <cell r="B11">
            <v>2016</v>
          </cell>
          <cell r="C11">
            <v>11</v>
          </cell>
          <cell r="D11" t="str">
            <v>PROPERTY - PURCHASE ACCOUNTING ADJ</v>
          </cell>
          <cell r="E11" t="str">
            <v>JLN</v>
          </cell>
          <cell r="F11">
            <v>1475975340.6400001</v>
          </cell>
          <cell r="G11">
            <v>1475975340.6400001</v>
          </cell>
          <cell r="I11">
            <v>0</v>
          </cell>
          <cell r="J11" t="str">
            <v>Amortization Schedule</v>
          </cell>
        </row>
        <row r="12">
          <cell r="B12">
            <v>2150</v>
          </cell>
          <cell r="C12">
            <v>11</v>
          </cell>
          <cell r="D12" t="str">
            <v>CAPITALIZED LEASES - PASCO FUELING FACILITY</v>
          </cell>
          <cell r="E12" t="str">
            <v>LMH</v>
          </cell>
          <cell r="F12">
            <v>1159011</v>
          </cell>
          <cell r="G12">
            <v>1159011</v>
          </cell>
          <cell r="I12">
            <v>0</v>
          </cell>
          <cell r="J12" t="str">
            <v>No activity recorded until retirement; history.</v>
          </cell>
        </row>
        <row r="13">
          <cell r="B13">
            <v>2151</v>
          </cell>
          <cell r="C13">
            <v>11</v>
          </cell>
          <cell r="D13" t="str">
            <v>CAPITALIZED LEASES - EQUIPMENT</v>
          </cell>
          <cell r="E13" t="str">
            <v>LMH</v>
          </cell>
          <cell r="F13">
            <v>20643026.460000001</v>
          </cell>
          <cell r="G13">
            <v>20643026.460000001</v>
          </cell>
          <cell r="I13">
            <v>0</v>
          </cell>
          <cell r="J13" t="str">
            <v>No activity recorded until retirement; history.</v>
          </cell>
        </row>
        <row r="14">
          <cell r="B14">
            <v>2152</v>
          </cell>
          <cell r="C14">
            <v>11</v>
          </cell>
          <cell r="D14" t="str">
            <v>CAPITALIZED LEASES - BN DOCK</v>
          </cell>
          <cell r="E14" t="str">
            <v>JLN</v>
          </cell>
          <cell r="F14">
            <v>8400000</v>
          </cell>
          <cell r="G14">
            <v>8400000</v>
          </cell>
          <cell r="I14">
            <v>0</v>
          </cell>
          <cell r="J14" t="str">
            <v>Amortization Schedule</v>
          </cell>
        </row>
        <row r="15">
          <cell r="B15">
            <v>2153</v>
          </cell>
          <cell r="C15">
            <v>11</v>
          </cell>
          <cell r="D15" t="str">
            <v>CAPITALIZED LEASES - SIDLOADER</v>
          </cell>
          <cell r="E15" t="str">
            <v>HKL</v>
          </cell>
          <cell r="F15">
            <v>629303</v>
          </cell>
          <cell r="G15">
            <v>629303</v>
          </cell>
          <cell r="I15">
            <v>0</v>
          </cell>
          <cell r="J15" t="str">
            <v>Amortization Schedule</v>
          </cell>
        </row>
        <row r="16">
          <cell r="B16">
            <v>2154</v>
          </cell>
          <cell r="C16">
            <v>11</v>
          </cell>
          <cell r="D16" t="str">
            <v>CAPITALIZED LEASES - JOLIET ARSENAL</v>
          </cell>
          <cell r="E16" t="str">
            <v>LMH</v>
          </cell>
          <cell r="F16">
            <v>138231000</v>
          </cell>
          <cell r="G16">
            <v>138231000</v>
          </cell>
          <cell r="I16">
            <v>0</v>
          </cell>
          <cell r="J16" t="str">
            <v>Amortization Schedule</v>
          </cell>
        </row>
        <row r="17">
          <cell r="B17">
            <v>2165</v>
          </cell>
          <cell r="C17">
            <v>11</v>
          </cell>
          <cell r="D17" t="str">
            <v>CAPITALIZED LEASES - LOCOMOTIVES</v>
          </cell>
          <cell r="E17" t="str">
            <v>HKL</v>
          </cell>
          <cell r="F17">
            <v>1198965775</v>
          </cell>
          <cell r="G17">
            <v>1198965775</v>
          </cell>
          <cell r="I17">
            <v>0</v>
          </cell>
          <cell r="J17" t="str">
            <v>Mechanical's Forecast</v>
          </cell>
        </row>
        <row r="18">
          <cell r="B18" t="str">
            <v>2180</v>
          </cell>
          <cell r="C18">
            <v>11</v>
          </cell>
          <cell r="D18" t="str">
            <v>CAPITALIZATION OF INT ROAD</v>
          </cell>
          <cell r="E18" t="str">
            <v>JLN</v>
          </cell>
          <cell r="F18">
            <v>164570221.06</v>
          </cell>
          <cell r="G18">
            <v>164570221.06</v>
          </cell>
          <cell r="I18">
            <v>0</v>
          </cell>
          <cell r="J18" t="str">
            <v>Amortization Schedule</v>
          </cell>
        </row>
        <row r="19">
          <cell r="B19" t="str">
            <v>2181</v>
          </cell>
          <cell r="C19">
            <v>11</v>
          </cell>
          <cell r="D19" t="str">
            <v>CAPITALIZATION OF INT EQPM</v>
          </cell>
          <cell r="E19" t="str">
            <v>JLN</v>
          </cell>
          <cell r="F19">
            <v>4569684.6399999997</v>
          </cell>
          <cell r="G19">
            <v>4569684.6399999997</v>
          </cell>
          <cell r="I19">
            <v>0</v>
          </cell>
          <cell r="J19" t="str">
            <v>Amortization Schedule</v>
          </cell>
        </row>
        <row r="20">
          <cell r="B20" t="str">
            <v>2190</v>
          </cell>
          <cell r="C20">
            <v>11</v>
          </cell>
          <cell r="D20" t="str">
            <v>AMORT OF CAPITALIZED INT-RD</v>
          </cell>
          <cell r="E20" t="str">
            <v>JLN</v>
          </cell>
          <cell r="F20">
            <v>-47740887.450000003</v>
          </cell>
          <cell r="G20">
            <v>-47740887.450000003</v>
          </cell>
          <cell r="I20">
            <v>0</v>
          </cell>
          <cell r="J20" t="str">
            <v>Amortization Schedule</v>
          </cell>
        </row>
        <row r="21">
          <cell r="B21" t="str">
            <v>2191</v>
          </cell>
          <cell r="C21">
            <v>11</v>
          </cell>
          <cell r="D21" t="str">
            <v>AMORT OF CAPITALIZED INT -EQ</v>
          </cell>
          <cell r="E21" t="str">
            <v>JLN</v>
          </cell>
          <cell r="F21">
            <v>-3379385.94</v>
          </cell>
          <cell r="G21">
            <v>-3379385.94</v>
          </cell>
          <cell r="I21">
            <v>0</v>
          </cell>
          <cell r="J21" t="str">
            <v>Amortization Schedule</v>
          </cell>
        </row>
        <row r="22">
          <cell r="B22">
            <v>2329</v>
          </cell>
          <cell r="C22">
            <v>11</v>
          </cell>
          <cell r="D22" t="str">
            <v>DEPRECIATION - PURCHASE ACCTG ADJ</v>
          </cell>
          <cell r="E22" t="str">
            <v>JLN</v>
          </cell>
          <cell r="F22">
            <v>1301601706.1400001</v>
          </cell>
          <cell r="G22">
            <v>1301601706.1400001</v>
          </cell>
          <cell r="I22">
            <v>0</v>
          </cell>
          <cell r="J22" t="str">
            <v>Schedule</v>
          </cell>
        </row>
        <row r="23">
          <cell r="B23" t="str">
            <v>2650</v>
          </cell>
          <cell r="C23">
            <v>8</v>
          </cell>
          <cell r="D23" t="str">
            <v>OTHER TAX PLANNING INVESTMENTS</v>
          </cell>
          <cell r="E23" t="str">
            <v>LMH</v>
          </cell>
          <cell r="F23">
            <v>22906207.09</v>
          </cell>
          <cell r="G23">
            <v>22906207.09</v>
          </cell>
          <cell r="I23">
            <v>0</v>
          </cell>
          <cell r="J23" t="str">
            <v>Capital, Apex, Tax, and Property magt. Forecast</v>
          </cell>
        </row>
        <row r="24">
          <cell r="B24">
            <v>2651</v>
          </cell>
          <cell r="C24">
            <v>8</v>
          </cell>
          <cell r="D24" t="str">
            <v>LIKE-KIND EXCHANGE PROPERTIES</v>
          </cell>
          <cell r="E24" t="str">
            <v>LMH</v>
          </cell>
          <cell r="F24">
            <v>0</v>
          </cell>
          <cell r="G24">
            <v>0</v>
          </cell>
          <cell r="I24">
            <v>0</v>
          </cell>
          <cell r="J24" t="str">
            <v>History</v>
          </cell>
        </row>
        <row r="25">
          <cell r="B25">
            <v>2652</v>
          </cell>
          <cell r="C25">
            <v>8</v>
          </cell>
          <cell r="D25" t="str">
            <v>EQUIPMENT INVESTING ACTIVITY</v>
          </cell>
          <cell r="E25" t="str">
            <v>HKL</v>
          </cell>
          <cell r="F25">
            <v>168253.2</v>
          </cell>
          <cell r="G25">
            <v>168253.2</v>
          </cell>
          <cell r="I25">
            <v>0</v>
          </cell>
          <cell r="J25" t="str">
            <v>Financing schedules</v>
          </cell>
        </row>
        <row r="26">
          <cell r="B26">
            <v>2657</v>
          </cell>
          <cell r="C26">
            <v>8</v>
          </cell>
          <cell r="D26" t="str">
            <v>GE EQUIPMENT VOUCHERS</v>
          </cell>
          <cell r="E26" t="str">
            <v>HKL</v>
          </cell>
          <cell r="F26">
            <v>3701845</v>
          </cell>
          <cell r="G26">
            <v>3701845</v>
          </cell>
          <cell r="I26">
            <v>0</v>
          </cell>
          <cell r="J26" t="str">
            <v>Interest Schedule</v>
          </cell>
        </row>
        <row r="27">
          <cell r="B27">
            <v>2811</v>
          </cell>
          <cell r="C27">
            <v>9</v>
          </cell>
          <cell r="D27" t="str">
            <v>APEX ASSETS</v>
          </cell>
          <cell r="E27" t="str">
            <v>LMH</v>
          </cell>
          <cell r="F27">
            <v>18024796.41</v>
          </cell>
          <cell r="I27">
            <v>6583737</v>
          </cell>
          <cell r="J27" t="str">
            <v>Land reconciliation, APEX Summary, APEX Forecast</v>
          </cell>
        </row>
        <row r="28">
          <cell r="B28">
            <v>2902</v>
          </cell>
          <cell r="C28">
            <v>8</v>
          </cell>
          <cell r="D28" t="str">
            <v>OTHER EXPEND. ON NON-RAIL PROPERTY</v>
          </cell>
          <cell r="E28" t="str">
            <v>LMH</v>
          </cell>
          <cell r="F28">
            <v>39328559.509999998</v>
          </cell>
          <cell r="G28">
            <v>39328559.509999998</v>
          </cell>
          <cell r="I28">
            <v>0</v>
          </cell>
          <cell r="J28" t="str">
            <v>Schedule</v>
          </cell>
        </row>
        <row r="29">
          <cell r="B29">
            <v>2907</v>
          </cell>
          <cell r="C29">
            <v>9</v>
          </cell>
          <cell r="D29" t="str">
            <v>CAPITAL LEASE - ARGENTINE FLYOVER</v>
          </cell>
          <cell r="E29" t="str">
            <v>LMH</v>
          </cell>
          <cell r="F29">
            <v>15795289.48</v>
          </cell>
          <cell r="G29">
            <v>15795289.48</v>
          </cell>
          <cell r="I29">
            <v>0</v>
          </cell>
          <cell r="J29" t="str">
            <v>Schedule</v>
          </cell>
        </row>
        <row r="30">
          <cell r="B30" t="str">
            <v>340E</v>
          </cell>
          <cell r="C30">
            <v>14</v>
          </cell>
          <cell r="D30" t="str">
            <v>PORTFOLIO SELLING COSTS</v>
          </cell>
          <cell r="E30" t="str">
            <v>DLB</v>
          </cell>
          <cell r="F30">
            <v>1522235.48</v>
          </cell>
          <cell r="G30">
            <v>1522235.48</v>
          </cell>
          <cell r="I30">
            <v>0</v>
          </cell>
          <cell r="J30" t="str">
            <v>History, AP Millennium Query</v>
          </cell>
        </row>
        <row r="31">
          <cell r="B31" t="str">
            <v>340L</v>
          </cell>
          <cell r="C31">
            <v>14</v>
          </cell>
          <cell r="D31" t="str">
            <v>FIBER OPTIC SELLING COSTS</v>
          </cell>
          <cell r="E31" t="str">
            <v>DLB</v>
          </cell>
          <cell r="F31">
            <v>0</v>
          </cell>
          <cell r="G31">
            <v>0</v>
          </cell>
          <cell r="I31">
            <v>0</v>
          </cell>
          <cell r="J31" t="str">
            <v>History, AP Millennium Query</v>
          </cell>
        </row>
        <row r="32">
          <cell r="B32">
            <v>3401</v>
          </cell>
          <cell r="C32">
            <v>18</v>
          </cell>
          <cell r="D32" t="str">
            <v>LOCOMOTIVE FREIGHT CAR PURCHASES</v>
          </cell>
          <cell r="E32" t="str">
            <v>HKL</v>
          </cell>
          <cell r="F32">
            <v>0</v>
          </cell>
          <cell r="G32">
            <v>0</v>
          </cell>
          <cell r="I32">
            <v>0</v>
          </cell>
          <cell r="J32" t="str">
            <v>Financing schedules, invoices</v>
          </cell>
        </row>
        <row r="33">
          <cell r="B33">
            <v>3475</v>
          </cell>
          <cell r="C33">
            <v>16</v>
          </cell>
          <cell r="D33" t="str">
            <v>LOCOMOTIVE LEASES - SHORT TERM</v>
          </cell>
          <cell r="E33" t="str">
            <v>HKL</v>
          </cell>
          <cell r="F33">
            <v>8373388</v>
          </cell>
          <cell r="G33">
            <v>8373387</v>
          </cell>
          <cell r="I33">
            <v>1</v>
          </cell>
          <cell r="J33" t="str">
            <v>Forecast, invoices</v>
          </cell>
        </row>
        <row r="34">
          <cell r="B34">
            <v>3477</v>
          </cell>
          <cell r="C34">
            <v>16</v>
          </cell>
          <cell r="D34" t="str">
            <v>LOCOMOTIVE LEASES - CURRENT</v>
          </cell>
          <cell r="E34" t="str">
            <v>HKL</v>
          </cell>
          <cell r="F34">
            <v>35750894</v>
          </cell>
          <cell r="G34">
            <v>35750894</v>
          </cell>
          <cell r="I34">
            <v>0</v>
          </cell>
          <cell r="J34" t="str">
            <v>Forecast, invoices</v>
          </cell>
        </row>
        <row r="35">
          <cell r="B35" t="str">
            <v>3920</v>
          </cell>
          <cell r="C35">
            <v>17</v>
          </cell>
          <cell r="D35" t="str">
            <v>LEASE OVERHAUL LIABILITY - CURRENT</v>
          </cell>
          <cell r="E35" t="str">
            <v>HKL</v>
          </cell>
          <cell r="F35">
            <v>-43961530</v>
          </cell>
          <cell r="G35">
            <v>-43961530</v>
          </cell>
          <cell r="I35">
            <v>0</v>
          </cell>
          <cell r="J35" t="str">
            <v>Mechanical's Forecast, Millennium Query</v>
          </cell>
        </row>
        <row r="36">
          <cell r="B36">
            <v>4744</v>
          </cell>
          <cell r="C36">
            <v>25</v>
          </cell>
          <cell r="D36" t="str">
            <v>LOCOMOTIVE LEASES - LONG TERM</v>
          </cell>
          <cell r="E36" t="str">
            <v>HKL</v>
          </cell>
          <cell r="F36">
            <v>104005382</v>
          </cell>
          <cell r="G36">
            <v>104005382</v>
          </cell>
          <cell r="I36">
            <v>0</v>
          </cell>
          <cell r="J36" t="str">
            <v>Forecast, invoices and Millennium Query</v>
          </cell>
        </row>
        <row r="37">
          <cell r="B37">
            <v>4915</v>
          </cell>
          <cell r="C37">
            <v>26</v>
          </cell>
          <cell r="D37" t="str">
            <v>DEFERRED GAINS ON EQUIPMENT</v>
          </cell>
          <cell r="E37" t="str">
            <v>HKL</v>
          </cell>
          <cell r="F37">
            <v>101061552</v>
          </cell>
          <cell r="G37">
            <v>101061552</v>
          </cell>
          <cell r="I37">
            <v>0</v>
          </cell>
          <cell r="J37" t="str">
            <v>Amortization Schedule</v>
          </cell>
        </row>
        <row r="38">
          <cell r="B38" t="str">
            <v>4918</v>
          </cell>
          <cell r="C38">
            <v>26</v>
          </cell>
          <cell r="D38" t="str">
            <v>LEASE OVERHAUL LIABILITY-DEFERRED</v>
          </cell>
          <cell r="E38" t="str">
            <v>HKL</v>
          </cell>
          <cell r="F38">
            <v>-52807920</v>
          </cell>
          <cell r="G38">
            <v>-52807920</v>
          </cell>
          <cell r="I38">
            <v>0</v>
          </cell>
          <cell r="J38" t="str">
            <v>Mechanical's Forecast, Millennium Query</v>
          </cell>
        </row>
        <row r="40">
          <cell r="B40" t="str">
            <v>Various</v>
          </cell>
          <cell r="C40">
            <v>11</v>
          </cell>
          <cell r="D40" t="str">
            <v>PROPERTY INVESTMENT</v>
          </cell>
          <cell r="E40" t="str">
            <v>JLN</v>
          </cell>
          <cell r="F40">
            <v>28904858347.290001</v>
          </cell>
          <cell r="H40" t="str">
            <v>B</v>
          </cell>
          <cell r="I40">
            <v>28904858347.290001</v>
          </cell>
          <cell r="J40" t="str">
            <v>Accts 2010, 2011, 2012, 2013, 2014, 2016, 2031, 2100, 2101, 2102, 2103, 2121, 2131, 2150, 2151, 2165, 2180, 2181, 2200, 2201, 2202, 2203, 2250, 2251, 2252</v>
          </cell>
        </row>
        <row r="42">
          <cell r="B42" t="str">
            <v>Various</v>
          </cell>
          <cell r="C42">
            <v>12</v>
          </cell>
          <cell r="D42" t="str">
            <v>PROPERTY ACCUMULATED DEPRECIATION</v>
          </cell>
          <cell r="E42" t="str">
            <v>JLN</v>
          </cell>
          <cell r="F42">
            <v>-4883391731.2799997</v>
          </cell>
          <cell r="H42" t="str">
            <v>B</v>
          </cell>
          <cell r="I42">
            <v>-4883391731.2799997</v>
          </cell>
          <cell r="J42" t="str">
            <v>Accts 2300, 2301, 2302, 2303, 2314, 2328, 2329, 2330, 2350, 2351, 2361, 2364, 2365, 2400, 2401, 2402, 2403, 2450, 2452, 2470</v>
          </cell>
        </row>
      </sheetData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C Conversion"/>
      <sheetName val="Historical"/>
      <sheetName val="Current"/>
      <sheetName val="Sheet3"/>
    </sheetNames>
    <sheetDataSet>
      <sheetData sheetId="0">
        <row r="1">
          <cell r="A1">
            <v>100</v>
          </cell>
          <cell r="B1">
            <v>2</v>
          </cell>
        </row>
        <row r="2">
          <cell r="A2">
            <v>105</v>
          </cell>
          <cell r="B2">
            <v>3</v>
          </cell>
        </row>
        <row r="3">
          <cell r="A3">
            <v>106</v>
          </cell>
          <cell r="B3">
            <v>3</v>
          </cell>
        </row>
        <row r="4">
          <cell r="A4">
            <v>120</v>
          </cell>
          <cell r="B4">
            <v>4</v>
          </cell>
        </row>
        <row r="5">
          <cell r="A5">
            <v>121</v>
          </cell>
          <cell r="B5">
            <v>4</v>
          </cell>
        </row>
        <row r="6">
          <cell r="A6">
            <v>122</v>
          </cell>
          <cell r="B6">
            <v>4</v>
          </cell>
        </row>
        <row r="7">
          <cell r="A7">
            <v>123</v>
          </cell>
          <cell r="B7">
            <v>4</v>
          </cell>
        </row>
        <row r="8">
          <cell r="A8">
            <v>125</v>
          </cell>
          <cell r="B8">
            <v>5</v>
          </cell>
        </row>
        <row r="9">
          <cell r="A9">
            <v>126</v>
          </cell>
          <cell r="B9">
            <v>5</v>
          </cell>
        </row>
        <row r="10">
          <cell r="A10">
            <v>130</v>
          </cell>
          <cell r="B10">
            <v>6</v>
          </cell>
        </row>
        <row r="11">
          <cell r="A11">
            <v>150</v>
          </cell>
          <cell r="B11">
            <v>8</v>
          </cell>
        </row>
        <row r="12">
          <cell r="A12">
            <v>151</v>
          </cell>
          <cell r="B12">
            <v>8</v>
          </cell>
        </row>
        <row r="13">
          <cell r="A13">
            <v>152</v>
          </cell>
          <cell r="B13">
            <v>8</v>
          </cell>
        </row>
        <row r="14">
          <cell r="A14">
            <v>153</v>
          </cell>
          <cell r="B14">
            <v>8</v>
          </cell>
        </row>
        <row r="15">
          <cell r="A15">
            <v>154</v>
          </cell>
          <cell r="B15">
            <v>8</v>
          </cell>
        </row>
        <row r="16">
          <cell r="A16">
            <v>155</v>
          </cell>
          <cell r="B16">
            <v>8</v>
          </cell>
        </row>
        <row r="17">
          <cell r="A17">
            <v>156</v>
          </cell>
          <cell r="B17">
            <v>8</v>
          </cell>
        </row>
        <row r="18">
          <cell r="A18">
            <v>157</v>
          </cell>
          <cell r="B18">
            <v>8</v>
          </cell>
        </row>
        <row r="19">
          <cell r="A19">
            <v>158</v>
          </cell>
          <cell r="B19">
            <v>8</v>
          </cell>
        </row>
        <row r="20">
          <cell r="A20">
            <v>159</v>
          </cell>
          <cell r="B20">
            <v>8</v>
          </cell>
        </row>
        <row r="21">
          <cell r="A21">
            <v>160</v>
          </cell>
          <cell r="B21">
            <v>8</v>
          </cell>
        </row>
        <row r="22">
          <cell r="A22">
            <v>161</v>
          </cell>
          <cell r="B22">
            <v>8</v>
          </cell>
        </row>
        <row r="23">
          <cell r="A23">
            <v>162</v>
          </cell>
          <cell r="B23">
            <v>8</v>
          </cell>
        </row>
        <row r="24">
          <cell r="A24">
            <v>163</v>
          </cell>
          <cell r="B24">
            <v>8</v>
          </cell>
        </row>
        <row r="25">
          <cell r="A25">
            <v>164</v>
          </cell>
          <cell r="B25">
            <v>8</v>
          </cell>
        </row>
        <row r="26">
          <cell r="A26">
            <v>165</v>
          </cell>
          <cell r="B26">
            <v>8</v>
          </cell>
        </row>
        <row r="27">
          <cell r="A27">
            <v>166</v>
          </cell>
          <cell r="B27">
            <v>8</v>
          </cell>
        </row>
        <row r="28">
          <cell r="A28">
            <v>167</v>
          </cell>
          <cell r="B28">
            <v>8</v>
          </cell>
        </row>
        <row r="29">
          <cell r="A29">
            <v>168</v>
          </cell>
          <cell r="B29">
            <v>8</v>
          </cell>
        </row>
        <row r="30">
          <cell r="A30">
            <v>169</v>
          </cell>
          <cell r="B30">
            <v>8</v>
          </cell>
        </row>
        <row r="31">
          <cell r="A31">
            <v>170</v>
          </cell>
          <cell r="B31">
            <v>8</v>
          </cell>
        </row>
        <row r="32">
          <cell r="A32">
            <v>171</v>
          </cell>
          <cell r="B32">
            <v>8</v>
          </cell>
        </row>
        <row r="33">
          <cell r="A33">
            <v>172</v>
          </cell>
          <cell r="B33">
            <v>8</v>
          </cell>
        </row>
        <row r="34">
          <cell r="A34">
            <v>173</v>
          </cell>
          <cell r="B34">
            <v>8</v>
          </cell>
        </row>
        <row r="35">
          <cell r="A35">
            <v>174</v>
          </cell>
          <cell r="B35">
            <v>8</v>
          </cell>
        </row>
        <row r="36">
          <cell r="A36">
            <v>175</v>
          </cell>
          <cell r="B36">
            <v>8</v>
          </cell>
        </row>
        <row r="37">
          <cell r="A37">
            <v>176</v>
          </cell>
          <cell r="B37">
            <v>8</v>
          </cell>
        </row>
        <row r="38">
          <cell r="A38">
            <v>177</v>
          </cell>
          <cell r="B38">
            <v>8</v>
          </cell>
        </row>
        <row r="39">
          <cell r="A39">
            <v>178</v>
          </cell>
          <cell r="B39">
            <v>8</v>
          </cell>
        </row>
        <row r="40">
          <cell r="A40">
            <v>179</v>
          </cell>
          <cell r="B40">
            <v>8</v>
          </cell>
        </row>
        <row r="41">
          <cell r="A41">
            <v>180</v>
          </cell>
          <cell r="B41">
            <v>8</v>
          </cell>
        </row>
        <row r="42">
          <cell r="A42">
            <v>181</v>
          </cell>
          <cell r="B42">
            <v>8</v>
          </cell>
        </row>
        <row r="43">
          <cell r="A43">
            <v>182</v>
          </cell>
          <cell r="B43">
            <v>8</v>
          </cell>
        </row>
        <row r="44">
          <cell r="A44">
            <v>183</v>
          </cell>
          <cell r="B44">
            <v>8</v>
          </cell>
        </row>
        <row r="45">
          <cell r="A45">
            <v>184</v>
          </cell>
          <cell r="B45">
            <v>8</v>
          </cell>
        </row>
        <row r="46">
          <cell r="A46">
            <v>185</v>
          </cell>
          <cell r="B46">
            <v>8</v>
          </cell>
        </row>
        <row r="47">
          <cell r="A47">
            <v>186</v>
          </cell>
          <cell r="B47">
            <v>8</v>
          </cell>
        </row>
        <row r="48">
          <cell r="A48">
            <v>187</v>
          </cell>
          <cell r="B48">
            <v>8</v>
          </cell>
        </row>
        <row r="49">
          <cell r="A49">
            <v>188</v>
          </cell>
          <cell r="B49">
            <v>8</v>
          </cell>
        </row>
        <row r="50">
          <cell r="A50">
            <v>189</v>
          </cell>
          <cell r="B50">
            <v>8</v>
          </cell>
        </row>
        <row r="51">
          <cell r="A51">
            <v>190</v>
          </cell>
          <cell r="B51">
            <v>8</v>
          </cell>
        </row>
        <row r="52">
          <cell r="A52">
            <v>191</v>
          </cell>
          <cell r="B52">
            <v>8</v>
          </cell>
        </row>
        <row r="53">
          <cell r="A53">
            <v>192</v>
          </cell>
          <cell r="B53">
            <v>8</v>
          </cell>
        </row>
        <row r="54">
          <cell r="A54">
            <v>193</v>
          </cell>
          <cell r="B54">
            <v>8</v>
          </cell>
        </row>
        <row r="55">
          <cell r="A55">
            <v>194</v>
          </cell>
          <cell r="B55">
            <v>8</v>
          </cell>
        </row>
        <row r="56">
          <cell r="A56">
            <v>200</v>
          </cell>
          <cell r="B56">
            <v>9</v>
          </cell>
        </row>
        <row r="57">
          <cell r="A57">
            <v>201</v>
          </cell>
          <cell r="B57">
            <v>9</v>
          </cell>
        </row>
        <row r="58">
          <cell r="A58">
            <v>202</v>
          </cell>
          <cell r="B58">
            <v>9</v>
          </cell>
        </row>
        <row r="59">
          <cell r="A59">
            <v>203</v>
          </cell>
          <cell r="B59">
            <v>9</v>
          </cell>
        </row>
        <row r="60">
          <cell r="A60">
            <v>204</v>
          </cell>
          <cell r="B60">
            <v>9</v>
          </cell>
        </row>
        <row r="61">
          <cell r="A61">
            <v>205</v>
          </cell>
          <cell r="B61">
            <v>9</v>
          </cell>
        </row>
        <row r="62">
          <cell r="A62">
            <v>206</v>
          </cell>
          <cell r="B62">
            <v>9</v>
          </cell>
        </row>
        <row r="63">
          <cell r="A63">
            <v>207</v>
          </cell>
          <cell r="B63">
            <v>9</v>
          </cell>
        </row>
        <row r="64">
          <cell r="A64">
            <v>208</v>
          </cell>
          <cell r="B64">
            <v>9</v>
          </cell>
        </row>
        <row r="65">
          <cell r="A65">
            <v>209</v>
          </cell>
          <cell r="B65">
            <v>9</v>
          </cell>
        </row>
        <row r="66">
          <cell r="A66">
            <v>210</v>
          </cell>
          <cell r="B66">
            <v>9</v>
          </cell>
        </row>
        <row r="67">
          <cell r="A67">
            <v>211</v>
          </cell>
          <cell r="B67">
            <v>9</v>
          </cell>
        </row>
        <row r="68">
          <cell r="A68">
            <v>212</v>
          </cell>
          <cell r="B68">
            <v>9</v>
          </cell>
        </row>
        <row r="69">
          <cell r="A69">
            <v>213</v>
          </cell>
          <cell r="B69">
            <v>9</v>
          </cell>
        </row>
        <row r="70">
          <cell r="A70">
            <v>214</v>
          </cell>
          <cell r="B70">
            <v>9</v>
          </cell>
        </row>
        <row r="71">
          <cell r="A71">
            <v>215</v>
          </cell>
          <cell r="B71">
            <v>9</v>
          </cell>
        </row>
        <row r="72">
          <cell r="A72">
            <v>216</v>
          </cell>
          <cell r="B72">
            <v>9</v>
          </cell>
        </row>
        <row r="73">
          <cell r="A73">
            <v>217</v>
          </cell>
          <cell r="B73">
            <v>9</v>
          </cell>
        </row>
        <row r="74">
          <cell r="A74">
            <v>218</v>
          </cell>
          <cell r="B74">
            <v>9</v>
          </cell>
        </row>
        <row r="75">
          <cell r="A75">
            <v>219</v>
          </cell>
          <cell r="B75">
            <v>9</v>
          </cell>
        </row>
        <row r="76">
          <cell r="A76">
            <v>220</v>
          </cell>
          <cell r="B76">
            <v>9</v>
          </cell>
        </row>
        <row r="77">
          <cell r="A77">
            <v>221</v>
          </cell>
          <cell r="B77">
            <v>9</v>
          </cell>
        </row>
        <row r="78">
          <cell r="A78">
            <v>222</v>
          </cell>
          <cell r="B78">
            <v>9</v>
          </cell>
        </row>
        <row r="79">
          <cell r="A79">
            <v>223</v>
          </cell>
          <cell r="B79">
            <v>9</v>
          </cell>
        </row>
        <row r="80">
          <cell r="A80">
            <v>224</v>
          </cell>
          <cell r="B80">
            <v>9</v>
          </cell>
        </row>
        <row r="81">
          <cell r="A81">
            <v>225</v>
          </cell>
          <cell r="B81">
            <v>9</v>
          </cell>
        </row>
        <row r="82">
          <cell r="A82">
            <v>226</v>
          </cell>
          <cell r="B82">
            <v>9</v>
          </cell>
        </row>
        <row r="83">
          <cell r="A83">
            <v>227</v>
          </cell>
          <cell r="B83">
            <v>9</v>
          </cell>
        </row>
        <row r="84">
          <cell r="A84">
            <v>228</v>
          </cell>
          <cell r="B84">
            <v>9</v>
          </cell>
        </row>
        <row r="85">
          <cell r="A85">
            <v>229</v>
          </cell>
          <cell r="B85">
            <v>9</v>
          </cell>
        </row>
        <row r="86">
          <cell r="A86">
            <v>230</v>
          </cell>
          <cell r="B86">
            <v>9</v>
          </cell>
        </row>
        <row r="87">
          <cell r="A87">
            <v>231</v>
          </cell>
          <cell r="B87">
            <v>9</v>
          </cell>
        </row>
        <row r="88">
          <cell r="A88">
            <v>232</v>
          </cell>
          <cell r="B88">
            <v>9</v>
          </cell>
        </row>
        <row r="89">
          <cell r="A89">
            <v>233</v>
          </cell>
          <cell r="B89">
            <v>9</v>
          </cell>
        </row>
        <row r="90">
          <cell r="A90">
            <v>234</v>
          </cell>
          <cell r="B90">
            <v>9</v>
          </cell>
        </row>
        <row r="91">
          <cell r="A91">
            <v>235</v>
          </cell>
          <cell r="B91">
            <v>9</v>
          </cell>
        </row>
        <row r="92">
          <cell r="A92">
            <v>236</v>
          </cell>
          <cell r="B92">
            <v>9</v>
          </cell>
        </row>
        <row r="93">
          <cell r="A93">
            <v>237</v>
          </cell>
          <cell r="B93">
            <v>9</v>
          </cell>
        </row>
        <row r="94">
          <cell r="A94">
            <v>238</v>
          </cell>
          <cell r="B94">
            <v>9</v>
          </cell>
        </row>
        <row r="95">
          <cell r="A95">
            <v>239</v>
          </cell>
          <cell r="B95">
            <v>9</v>
          </cell>
        </row>
        <row r="96">
          <cell r="A96">
            <v>240</v>
          </cell>
          <cell r="B96">
            <v>9</v>
          </cell>
        </row>
        <row r="97">
          <cell r="A97">
            <v>241</v>
          </cell>
          <cell r="B97">
            <v>9</v>
          </cell>
        </row>
        <row r="98">
          <cell r="A98">
            <v>242</v>
          </cell>
          <cell r="B98">
            <v>9</v>
          </cell>
        </row>
        <row r="99">
          <cell r="A99">
            <v>243</v>
          </cell>
          <cell r="B99">
            <v>9</v>
          </cell>
        </row>
        <row r="100">
          <cell r="A100">
            <v>244</v>
          </cell>
          <cell r="B100">
            <v>9</v>
          </cell>
        </row>
        <row r="101">
          <cell r="A101">
            <v>245</v>
          </cell>
          <cell r="B101">
            <v>9</v>
          </cell>
        </row>
        <row r="102">
          <cell r="A102">
            <v>246</v>
          </cell>
          <cell r="B102">
            <v>9</v>
          </cell>
        </row>
        <row r="103">
          <cell r="A103">
            <v>247</v>
          </cell>
          <cell r="B103">
            <v>9</v>
          </cell>
        </row>
        <row r="104">
          <cell r="A104">
            <v>248</v>
          </cell>
          <cell r="B104">
            <v>9</v>
          </cell>
        </row>
        <row r="105">
          <cell r="A105">
            <v>249</v>
          </cell>
          <cell r="B105">
            <v>9</v>
          </cell>
        </row>
        <row r="106">
          <cell r="A106">
            <v>250</v>
          </cell>
          <cell r="B106">
            <v>9</v>
          </cell>
        </row>
        <row r="107">
          <cell r="A107">
            <v>251</v>
          </cell>
          <cell r="B107">
            <v>9</v>
          </cell>
        </row>
        <row r="108">
          <cell r="A108">
            <v>252</v>
          </cell>
          <cell r="B108">
            <v>9</v>
          </cell>
        </row>
        <row r="109">
          <cell r="A109">
            <v>253</v>
          </cell>
          <cell r="B109">
            <v>9</v>
          </cell>
        </row>
        <row r="110">
          <cell r="A110">
            <v>254</v>
          </cell>
          <cell r="B110">
            <v>9</v>
          </cell>
        </row>
        <row r="111">
          <cell r="A111">
            <v>255</v>
          </cell>
          <cell r="B111">
            <v>9</v>
          </cell>
        </row>
        <row r="112">
          <cell r="A112">
            <v>256</v>
          </cell>
          <cell r="B112">
            <v>9</v>
          </cell>
        </row>
        <row r="113">
          <cell r="A113">
            <v>257</v>
          </cell>
          <cell r="B113">
            <v>9</v>
          </cell>
        </row>
        <row r="114">
          <cell r="A114">
            <v>258</v>
          </cell>
          <cell r="B114">
            <v>9</v>
          </cell>
        </row>
        <row r="115">
          <cell r="A115">
            <v>259</v>
          </cell>
          <cell r="B115">
            <v>9</v>
          </cell>
        </row>
        <row r="116">
          <cell r="A116">
            <v>260</v>
          </cell>
          <cell r="B116">
            <v>9</v>
          </cell>
        </row>
        <row r="117">
          <cell r="A117">
            <v>261</v>
          </cell>
          <cell r="B117">
            <v>9</v>
          </cell>
        </row>
        <row r="118">
          <cell r="A118">
            <v>262</v>
          </cell>
          <cell r="B118">
            <v>9</v>
          </cell>
        </row>
        <row r="119">
          <cell r="A119">
            <v>263</v>
          </cell>
          <cell r="B119">
            <v>9</v>
          </cell>
        </row>
        <row r="120">
          <cell r="A120">
            <v>264</v>
          </cell>
          <cell r="B120">
            <v>9</v>
          </cell>
        </row>
        <row r="121">
          <cell r="A121">
            <v>265</v>
          </cell>
          <cell r="B121">
            <v>9</v>
          </cell>
        </row>
        <row r="122">
          <cell r="A122">
            <v>266</v>
          </cell>
          <cell r="B122">
            <v>9</v>
          </cell>
        </row>
        <row r="123">
          <cell r="A123">
            <v>267</v>
          </cell>
          <cell r="B123">
            <v>9</v>
          </cell>
        </row>
        <row r="124">
          <cell r="A124">
            <v>280</v>
          </cell>
          <cell r="B124">
            <v>11</v>
          </cell>
        </row>
        <row r="125">
          <cell r="A125">
            <v>281</v>
          </cell>
          <cell r="B125">
            <v>11</v>
          </cell>
        </row>
        <row r="126">
          <cell r="A126">
            <v>282</v>
          </cell>
          <cell r="B126">
            <v>11</v>
          </cell>
        </row>
        <row r="127">
          <cell r="A127">
            <v>283</v>
          </cell>
          <cell r="B127">
            <v>11</v>
          </cell>
        </row>
        <row r="128">
          <cell r="A128">
            <v>284</v>
          </cell>
          <cell r="B128">
            <v>11</v>
          </cell>
        </row>
        <row r="129">
          <cell r="A129">
            <v>285</v>
          </cell>
          <cell r="B129">
            <v>11</v>
          </cell>
        </row>
        <row r="130">
          <cell r="A130">
            <v>286</v>
          </cell>
          <cell r="B130">
            <v>11</v>
          </cell>
        </row>
        <row r="131">
          <cell r="A131">
            <v>287</v>
          </cell>
          <cell r="B131">
            <v>11</v>
          </cell>
        </row>
        <row r="132">
          <cell r="A132">
            <v>288</v>
          </cell>
          <cell r="B132">
            <v>11</v>
          </cell>
        </row>
        <row r="133">
          <cell r="A133">
            <v>289</v>
          </cell>
          <cell r="B133">
            <v>11</v>
          </cell>
        </row>
        <row r="134">
          <cell r="A134">
            <v>290</v>
          </cell>
          <cell r="B134">
            <v>11</v>
          </cell>
        </row>
        <row r="135">
          <cell r="A135">
            <v>291</v>
          </cell>
          <cell r="B135">
            <v>11</v>
          </cell>
        </row>
        <row r="136">
          <cell r="A136">
            <v>292</v>
          </cell>
          <cell r="B136">
            <v>11</v>
          </cell>
        </row>
        <row r="137">
          <cell r="A137">
            <v>293</v>
          </cell>
          <cell r="B137">
            <v>11</v>
          </cell>
        </row>
        <row r="138">
          <cell r="A138">
            <v>294</v>
          </cell>
          <cell r="B138">
            <v>11</v>
          </cell>
        </row>
        <row r="139">
          <cell r="A139">
            <v>295</v>
          </cell>
          <cell r="B139">
            <v>11</v>
          </cell>
        </row>
        <row r="140">
          <cell r="A140">
            <v>296</v>
          </cell>
          <cell r="B140">
            <v>11</v>
          </cell>
        </row>
        <row r="141">
          <cell r="A141">
            <v>297</v>
          </cell>
          <cell r="B141">
            <v>11</v>
          </cell>
        </row>
        <row r="142">
          <cell r="A142">
            <v>298</v>
          </cell>
          <cell r="B142">
            <v>11</v>
          </cell>
        </row>
        <row r="143">
          <cell r="A143">
            <v>299</v>
          </cell>
          <cell r="B143">
            <v>11</v>
          </cell>
        </row>
        <row r="144">
          <cell r="A144">
            <v>300</v>
          </cell>
          <cell r="B144">
            <v>11</v>
          </cell>
        </row>
        <row r="145">
          <cell r="A145">
            <v>301</v>
          </cell>
          <cell r="B145">
            <v>11</v>
          </cell>
        </row>
        <row r="146">
          <cell r="A146">
            <v>302</v>
          </cell>
          <cell r="B146">
            <v>11</v>
          </cell>
        </row>
        <row r="147">
          <cell r="A147">
            <v>303</v>
          </cell>
          <cell r="B147">
            <v>11</v>
          </cell>
        </row>
        <row r="148">
          <cell r="A148">
            <v>304</v>
          </cell>
          <cell r="B148">
            <v>11</v>
          </cell>
        </row>
        <row r="149">
          <cell r="A149">
            <v>305</v>
          </cell>
          <cell r="B149">
            <v>11</v>
          </cell>
        </row>
        <row r="150">
          <cell r="A150">
            <v>306</v>
          </cell>
          <cell r="B150">
            <v>11</v>
          </cell>
        </row>
        <row r="151">
          <cell r="A151">
            <v>307</v>
          </cell>
          <cell r="B151">
            <v>11</v>
          </cell>
        </row>
        <row r="152">
          <cell r="A152">
            <v>308</v>
          </cell>
          <cell r="B152">
            <v>11</v>
          </cell>
        </row>
        <row r="153">
          <cell r="A153">
            <v>309</v>
          </cell>
          <cell r="B153">
            <v>11</v>
          </cell>
        </row>
        <row r="154">
          <cell r="A154">
            <v>310</v>
          </cell>
          <cell r="B154">
            <v>11</v>
          </cell>
        </row>
        <row r="155">
          <cell r="A155">
            <v>311</v>
          </cell>
          <cell r="B155">
            <v>11</v>
          </cell>
        </row>
        <row r="156">
          <cell r="A156">
            <v>312</v>
          </cell>
          <cell r="B156">
            <v>11</v>
          </cell>
        </row>
        <row r="157">
          <cell r="A157">
            <v>313</v>
          </cell>
          <cell r="B157">
            <v>11</v>
          </cell>
        </row>
        <row r="158">
          <cell r="A158">
            <v>314</v>
          </cell>
          <cell r="B158">
            <v>11</v>
          </cell>
        </row>
        <row r="159">
          <cell r="A159">
            <v>320</v>
          </cell>
          <cell r="B159">
            <v>12</v>
          </cell>
        </row>
        <row r="160">
          <cell r="A160">
            <v>340</v>
          </cell>
          <cell r="B160">
            <v>16</v>
          </cell>
        </row>
        <row r="161">
          <cell r="A161">
            <v>341</v>
          </cell>
          <cell r="B161">
            <v>17</v>
          </cell>
        </row>
        <row r="162">
          <cell r="A162">
            <v>342</v>
          </cell>
          <cell r="B162">
            <v>35</v>
          </cell>
        </row>
        <row r="163">
          <cell r="A163">
            <v>343</v>
          </cell>
          <cell r="B163">
            <v>13</v>
          </cell>
        </row>
        <row r="164">
          <cell r="A164">
            <v>355</v>
          </cell>
          <cell r="B164">
            <v>18</v>
          </cell>
        </row>
        <row r="165">
          <cell r="A165">
            <v>356</v>
          </cell>
          <cell r="B165">
            <v>19</v>
          </cell>
        </row>
        <row r="166">
          <cell r="A166">
            <v>365</v>
          </cell>
          <cell r="B166">
            <v>20</v>
          </cell>
        </row>
        <row r="167">
          <cell r="A167">
            <v>370</v>
          </cell>
          <cell r="B167">
            <v>23</v>
          </cell>
        </row>
        <row r="168">
          <cell r="A168">
            <v>372</v>
          </cell>
          <cell r="B168">
            <v>24</v>
          </cell>
        </row>
        <row r="169">
          <cell r="A169">
            <v>375</v>
          </cell>
          <cell r="B169">
            <v>25</v>
          </cell>
        </row>
        <row r="170">
          <cell r="A170">
            <v>380</v>
          </cell>
          <cell r="B170">
            <v>26</v>
          </cell>
        </row>
        <row r="171">
          <cell r="A171">
            <v>389</v>
          </cell>
          <cell r="B171">
            <v>26</v>
          </cell>
        </row>
        <row r="172">
          <cell r="A172">
            <v>400</v>
          </cell>
          <cell r="B172">
            <v>27</v>
          </cell>
        </row>
        <row r="173">
          <cell r="A173">
            <v>410</v>
          </cell>
          <cell r="B173">
            <v>29</v>
          </cell>
        </row>
        <row r="174">
          <cell r="A174">
            <v>411</v>
          </cell>
          <cell r="B174">
            <v>31</v>
          </cell>
        </row>
        <row r="175">
          <cell r="A175">
            <v>419</v>
          </cell>
          <cell r="B175">
            <v>37</v>
          </cell>
        </row>
        <row r="176">
          <cell r="A176">
            <v>420</v>
          </cell>
          <cell r="B176">
            <v>37</v>
          </cell>
        </row>
        <row r="177">
          <cell r="A177">
            <v>430</v>
          </cell>
          <cell r="B177">
            <v>39</v>
          </cell>
        </row>
        <row r="178">
          <cell r="A178">
            <v>431</v>
          </cell>
          <cell r="B178">
            <v>39</v>
          </cell>
        </row>
        <row r="179">
          <cell r="A179">
            <v>432</v>
          </cell>
          <cell r="B179">
            <v>39</v>
          </cell>
        </row>
        <row r="180">
          <cell r="A180">
            <v>433</v>
          </cell>
          <cell r="B180">
            <v>39</v>
          </cell>
        </row>
        <row r="181">
          <cell r="A181">
            <v>434</v>
          </cell>
          <cell r="B181">
            <v>39</v>
          </cell>
        </row>
        <row r="182">
          <cell r="A182">
            <v>440</v>
          </cell>
          <cell r="B182">
            <v>44</v>
          </cell>
        </row>
        <row r="183">
          <cell r="A183">
            <v>445</v>
          </cell>
          <cell r="B183">
            <v>45</v>
          </cell>
        </row>
        <row r="184">
          <cell r="A184">
            <v>465</v>
          </cell>
          <cell r="B184">
            <v>76</v>
          </cell>
        </row>
        <row r="185">
          <cell r="A185">
            <v>536</v>
          </cell>
          <cell r="B185">
            <v>52</v>
          </cell>
        </row>
        <row r="186">
          <cell r="A186">
            <v>556</v>
          </cell>
          <cell r="B186">
            <v>53</v>
          </cell>
        </row>
        <row r="187">
          <cell r="A187">
            <v>613</v>
          </cell>
          <cell r="B187">
            <v>55</v>
          </cell>
        </row>
        <row r="188">
          <cell r="A188">
            <v>635</v>
          </cell>
          <cell r="B188">
            <v>57</v>
          </cell>
        </row>
        <row r="189">
          <cell r="A189">
            <v>656</v>
          </cell>
          <cell r="B189">
            <v>58</v>
          </cell>
        </row>
        <row r="190">
          <cell r="A190">
            <v>690</v>
          </cell>
          <cell r="B190">
            <v>59</v>
          </cell>
        </row>
        <row r="191">
          <cell r="A191">
            <v>468</v>
          </cell>
          <cell r="B191">
            <v>76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totals"/>
      <sheetName val="2 Subtotals"/>
      <sheetName val="Count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ant"/>
      <sheetName val="Directional"/>
      <sheetName val="5-leg"/>
      <sheetName val="Quadrant (Interpolation)"/>
      <sheetName val="Directional (Interpolation)"/>
      <sheetName val="Quadrant (AM_PM)"/>
      <sheetName val="Sheet1"/>
      <sheetName val="Directional (AM_PM)"/>
      <sheetName val="Quadrant (AM_PM)(Interpolation)"/>
      <sheetName val="Directional (AM_PM)(Interp)"/>
      <sheetName val="Quadrant (AM_PM) (2)"/>
    </sheetNames>
    <sheetDataSet>
      <sheetData sheetId="0"/>
      <sheetData sheetId="1"/>
      <sheetData sheetId="2"/>
      <sheetData sheetId="3"/>
      <sheetData sheetId="4"/>
      <sheetData sheetId="5">
        <row r="78">
          <cell r="N78" t="str">
            <v>INBOUND</v>
          </cell>
        </row>
        <row r="79">
          <cell r="N79" t="str">
            <v>OUTBOUND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Comparisons"/>
      <sheetName val="Annual Amort"/>
      <sheetName val="Runoff 2003 On"/>
      <sheetName val="2003 - 2016"/>
      <sheetName val="2003 - 2329"/>
      <sheetName val="2002 EB"/>
      <sheetName val="2001 EB"/>
      <sheetName val="PA Run Off"/>
      <sheetName val="1995"/>
      <sheetName val="19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ATSF</v>
          </cell>
        </row>
        <row r="2">
          <cell r="A2" t="str">
            <v>Purchase Accounting Adjustment</v>
          </cell>
        </row>
        <row r="3">
          <cell r="A3" t="str">
            <v>(In Thousands)</v>
          </cell>
        </row>
        <row r="4">
          <cell r="A4" t="str">
            <v>N:\CONTROLLER\Property Accounting\Reporting &amp; Analysis\Annual Reports\2002\R-1 Schedules\Submitted\[SCHED 352 A - INVESTMENT IN RR PROP (by company).xls]P - 42</v>
          </cell>
        </row>
        <row r="5">
          <cell r="A5">
            <v>35829.575497685182</v>
          </cell>
        </row>
        <row r="6">
          <cell r="A6">
            <v>35829.575497685182</v>
          </cell>
        </row>
        <row r="7">
          <cell r="D7" t="str">
            <v>Revised</v>
          </cell>
        </row>
        <row r="8">
          <cell r="B8" t="str">
            <v>Purchase</v>
          </cell>
          <cell r="D8" t="str">
            <v>Purchase</v>
          </cell>
          <cell r="E8" t="str">
            <v>Remaining</v>
          </cell>
        </row>
        <row r="9">
          <cell r="B9" t="str">
            <v>Acctg</v>
          </cell>
          <cell r="D9" t="str">
            <v>Acctg</v>
          </cell>
          <cell r="E9" t="str">
            <v>Useful</v>
          </cell>
          <cell r="F9" t="str">
            <v>Annual</v>
          </cell>
          <cell r="G9" t="str">
            <v>Amort</v>
          </cell>
          <cell r="GI9">
            <v>2003</v>
          </cell>
        </row>
        <row r="10">
          <cell r="B10" t="str">
            <v>Write Up</v>
          </cell>
          <cell r="C10" t="str">
            <v>Adjustment</v>
          </cell>
          <cell r="D10" t="str">
            <v>Write Up</v>
          </cell>
          <cell r="E10" t="str">
            <v>Life</v>
          </cell>
          <cell r="F10" t="str">
            <v>Amort</v>
          </cell>
          <cell r="G10" t="str">
            <v>Expiration</v>
          </cell>
          <cell r="H10">
            <v>1995</v>
          </cell>
          <cell r="I10">
            <v>1996</v>
          </cell>
          <cell r="J10">
            <v>1997</v>
          </cell>
          <cell r="K10">
            <v>1998</v>
          </cell>
          <cell r="L10">
            <v>1999</v>
          </cell>
          <cell r="M10">
            <v>2000</v>
          </cell>
          <cell r="N10">
            <v>2001</v>
          </cell>
          <cell r="O10">
            <v>2002</v>
          </cell>
          <cell r="Q10">
            <v>2003</v>
          </cell>
          <cell r="S10">
            <v>2004</v>
          </cell>
          <cell r="U10">
            <v>2005</v>
          </cell>
          <cell r="W10">
            <v>2006</v>
          </cell>
          <cell r="Y10">
            <v>2007</v>
          </cell>
          <cell r="AA10">
            <v>2008</v>
          </cell>
          <cell r="AC10">
            <v>2009</v>
          </cell>
          <cell r="AE10">
            <v>2010</v>
          </cell>
          <cell r="AG10">
            <v>2011</v>
          </cell>
          <cell r="AI10">
            <v>2012</v>
          </cell>
          <cell r="AK10">
            <v>2013</v>
          </cell>
          <cell r="AM10">
            <v>2014</v>
          </cell>
          <cell r="AO10">
            <v>2015</v>
          </cell>
          <cell r="AQ10">
            <v>2016</v>
          </cell>
          <cell r="AS10">
            <v>2017</v>
          </cell>
          <cell r="AU10">
            <v>2018</v>
          </cell>
          <cell r="AW10">
            <v>2019</v>
          </cell>
          <cell r="AY10">
            <v>2020</v>
          </cell>
          <cell r="BA10">
            <v>2021</v>
          </cell>
          <cell r="BC10">
            <v>2022</v>
          </cell>
          <cell r="BE10">
            <v>2023</v>
          </cell>
          <cell r="BG10">
            <v>2024</v>
          </cell>
          <cell r="BI10">
            <v>2025</v>
          </cell>
          <cell r="BK10">
            <v>2026</v>
          </cell>
          <cell r="BM10">
            <v>2027</v>
          </cell>
          <cell r="BO10">
            <v>2028</v>
          </cell>
          <cell r="BQ10">
            <v>2029</v>
          </cell>
          <cell r="BS10">
            <v>2030</v>
          </cell>
          <cell r="BU10">
            <v>2031</v>
          </cell>
          <cell r="BW10">
            <v>2032</v>
          </cell>
          <cell r="BY10">
            <v>2033</v>
          </cell>
          <cell r="CA10">
            <v>2034</v>
          </cell>
          <cell r="CC10">
            <v>2035</v>
          </cell>
          <cell r="CE10">
            <v>2036</v>
          </cell>
          <cell r="CG10">
            <v>2037</v>
          </cell>
          <cell r="CI10">
            <v>2038</v>
          </cell>
          <cell r="CK10">
            <v>2039</v>
          </cell>
          <cell r="CM10">
            <v>2040</v>
          </cell>
          <cell r="CO10">
            <v>2041</v>
          </cell>
          <cell r="CQ10">
            <v>2042</v>
          </cell>
          <cell r="CS10">
            <v>2043</v>
          </cell>
          <cell r="CU10">
            <v>2044</v>
          </cell>
          <cell r="CW10">
            <v>2045</v>
          </cell>
          <cell r="CY10">
            <v>2046</v>
          </cell>
          <cell r="DA10">
            <v>2047</v>
          </cell>
          <cell r="DC10">
            <v>2048</v>
          </cell>
          <cell r="DE10">
            <v>2049</v>
          </cell>
          <cell r="DG10">
            <v>2050</v>
          </cell>
          <cell r="DI10">
            <v>2051</v>
          </cell>
          <cell r="DK10">
            <v>2052</v>
          </cell>
          <cell r="DM10">
            <v>2053</v>
          </cell>
          <cell r="DO10">
            <v>2054</v>
          </cell>
          <cell r="DQ10">
            <v>2055</v>
          </cell>
          <cell r="DS10">
            <v>2056</v>
          </cell>
          <cell r="DU10">
            <v>2057</v>
          </cell>
          <cell r="DW10">
            <v>2058</v>
          </cell>
          <cell r="DY10">
            <v>2059</v>
          </cell>
          <cell r="EA10">
            <v>2060</v>
          </cell>
          <cell r="EC10">
            <v>2061</v>
          </cell>
          <cell r="EE10">
            <v>2062</v>
          </cell>
          <cell r="EG10">
            <v>2063</v>
          </cell>
          <cell r="EI10">
            <v>2064</v>
          </cell>
          <cell r="EK10">
            <v>2065</v>
          </cell>
          <cell r="EM10">
            <v>2066</v>
          </cell>
          <cell r="EO10">
            <v>2067</v>
          </cell>
          <cell r="EQ10">
            <v>2068</v>
          </cell>
          <cell r="ES10">
            <v>2069</v>
          </cell>
          <cell r="EU10">
            <v>2070</v>
          </cell>
          <cell r="EW10">
            <v>2071</v>
          </cell>
          <cell r="EY10">
            <v>2072</v>
          </cell>
          <cell r="FA10">
            <v>2073</v>
          </cell>
          <cell r="FC10">
            <v>2074</v>
          </cell>
          <cell r="FE10">
            <v>2075</v>
          </cell>
          <cell r="FG10">
            <v>2076</v>
          </cell>
          <cell r="FI10">
            <v>2077</v>
          </cell>
          <cell r="FK10">
            <v>2078</v>
          </cell>
          <cell r="FM10">
            <v>2079</v>
          </cell>
          <cell r="FO10">
            <v>2080</v>
          </cell>
          <cell r="FQ10">
            <v>2081</v>
          </cell>
          <cell r="FS10">
            <v>2082</v>
          </cell>
          <cell r="FU10">
            <v>2083</v>
          </cell>
          <cell r="FW10">
            <v>2084</v>
          </cell>
          <cell r="FY10">
            <v>2085</v>
          </cell>
          <cell r="GA10">
            <v>2086</v>
          </cell>
          <cell r="GC10">
            <v>2087</v>
          </cell>
          <cell r="GE10">
            <v>2088</v>
          </cell>
          <cell r="GG10" t="str">
            <v>Total</v>
          </cell>
          <cell r="GI10" t="str">
            <v>Balance</v>
          </cell>
        </row>
        <row r="11">
          <cell r="A11" t="str">
            <v>LAND</v>
          </cell>
        </row>
        <row r="12">
          <cell r="A12" t="str">
            <v>Land for Transportation Purposes</v>
          </cell>
        </row>
        <row r="13">
          <cell r="A13" t="str">
            <v>Surplus Land</v>
          </cell>
        </row>
        <row r="14">
          <cell r="A14" t="str">
            <v xml:space="preserve">    TOTAL LAND</v>
          </cell>
        </row>
        <row r="16">
          <cell r="A16" t="str">
            <v>DEPRECIABLE ROAD</v>
          </cell>
        </row>
        <row r="17">
          <cell r="A17" t="str">
            <v>Grading</v>
          </cell>
        </row>
        <row r="18">
          <cell r="A18" t="str">
            <v>Other Right of Way Expenditures</v>
          </cell>
        </row>
        <row r="19">
          <cell r="A19" t="str">
            <v>Tunnels and Subways</v>
          </cell>
        </row>
        <row r="20">
          <cell r="A20" t="str">
            <v>Brdges, Trestles and Culverts</v>
          </cell>
        </row>
        <row r="21">
          <cell r="A21" t="str">
            <v>Ties</v>
          </cell>
        </row>
        <row r="22">
          <cell r="A22" t="str">
            <v>Rail and Other Track Material</v>
          </cell>
        </row>
        <row r="23">
          <cell r="A23" t="str">
            <v>Ballast</v>
          </cell>
        </row>
        <row r="24">
          <cell r="A24" t="str">
            <v>Fences, Snowsheds and Signs</v>
          </cell>
        </row>
        <row r="25">
          <cell r="A25" t="str">
            <v>Station and Office Buildings</v>
          </cell>
        </row>
        <row r="26">
          <cell r="A26" t="str">
            <v>Roadway Buildings</v>
          </cell>
        </row>
        <row r="27">
          <cell r="A27" t="str">
            <v>Water Stations</v>
          </cell>
        </row>
        <row r="28">
          <cell r="A28" t="str">
            <v>Fuel Stations</v>
          </cell>
        </row>
        <row r="29">
          <cell r="A29" t="str">
            <v>Shops and Enginehouses</v>
          </cell>
        </row>
        <row r="30">
          <cell r="A30" t="str">
            <v>Intermodal Terminals</v>
          </cell>
        </row>
        <row r="31">
          <cell r="A31" t="str">
            <v>Communications Systems</v>
          </cell>
        </row>
        <row r="32">
          <cell r="A32" t="str">
            <v>Signals and Interlockers</v>
          </cell>
        </row>
        <row r="33">
          <cell r="A33" t="str">
            <v>Power Plants</v>
          </cell>
        </row>
        <row r="34">
          <cell r="A34" t="str">
            <v>Power Transmission Systems</v>
          </cell>
        </row>
        <row r="35">
          <cell r="A35" t="str">
            <v>Miscellaneous Structures</v>
          </cell>
        </row>
        <row r="36">
          <cell r="A36" t="str">
            <v>Roadway Machines</v>
          </cell>
        </row>
        <row r="37">
          <cell r="A37" t="str">
            <v>Public Improvements-Construction</v>
          </cell>
        </row>
        <row r="38">
          <cell r="A38" t="str">
            <v>Shop Machinery</v>
          </cell>
        </row>
        <row r="39">
          <cell r="A39" t="str">
            <v>Power Plant Equipment</v>
          </cell>
        </row>
        <row r="40">
          <cell r="A40" t="str">
            <v xml:space="preserve">    TOTAL DEPRECIABLE ROAD</v>
          </cell>
        </row>
        <row r="42">
          <cell r="A42" t="str">
            <v>EQUIPMENT</v>
          </cell>
        </row>
        <row r="43">
          <cell r="A43" t="str">
            <v>Locomotives</v>
          </cell>
        </row>
        <row r="44">
          <cell r="A44" t="str">
            <v>Freight Train Cars</v>
          </cell>
        </row>
        <row r="45">
          <cell r="A45" t="str">
            <v>Work Equipment</v>
          </cell>
        </row>
        <row r="46">
          <cell r="A46" t="str">
            <v>Miscellaneous Equipment</v>
          </cell>
        </row>
        <row r="47">
          <cell r="A47" t="str">
            <v>Computer Systems</v>
          </cell>
        </row>
        <row r="48">
          <cell r="A48" t="str">
            <v>Computer Software</v>
          </cell>
        </row>
        <row r="49">
          <cell r="A49" t="str">
            <v xml:space="preserve">    TOTAL EQUIPMENT</v>
          </cell>
        </row>
        <row r="51">
          <cell r="A51" t="str">
            <v>MISCELLANEOUS</v>
          </cell>
        </row>
        <row r="52">
          <cell r="A52" t="str">
            <v>Interest During Construction</v>
          </cell>
        </row>
        <row r="53">
          <cell r="A53" t="str">
            <v>Construction Work In Progress</v>
          </cell>
        </row>
        <row r="54">
          <cell r="A54" t="str">
            <v xml:space="preserve">    TOTAL MISCELLANEOUS</v>
          </cell>
        </row>
        <row r="55">
          <cell r="A55" t="str">
            <v>TOTAL OPERATING ASSETS</v>
          </cell>
        </row>
        <row r="57">
          <cell r="A57" t="str">
            <v>NON-OPERATING ASSETS</v>
          </cell>
        </row>
        <row r="58">
          <cell r="A58" t="str">
            <v>Buildings Held for Sale</v>
          </cell>
        </row>
        <row r="59">
          <cell r="A59" t="str">
            <v>Buildings</v>
          </cell>
        </row>
        <row r="60">
          <cell r="A60" t="str">
            <v>Bridges</v>
          </cell>
        </row>
        <row r="61">
          <cell r="A61" t="str">
            <v>Royalty Income</v>
          </cell>
        </row>
        <row r="62">
          <cell r="A62" t="str">
            <v xml:space="preserve">   TOTAL NON-OPERATING ASSETS:</v>
          </cell>
        </row>
        <row r="64">
          <cell r="A64" t="str">
            <v>GRAND TOTAL</v>
          </cell>
        </row>
      </sheetData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Comparisons"/>
      <sheetName val="Annual Amort"/>
      <sheetName val="Runoff 2003 On"/>
      <sheetName val="2003 - 2016"/>
      <sheetName val="2003 - 2329"/>
      <sheetName val="2002 EB"/>
      <sheetName val="2001 EB"/>
      <sheetName val="PA Run Off"/>
      <sheetName val="1995"/>
      <sheetName val="19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ATSF</v>
          </cell>
        </row>
        <row r="2">
          <cell r="A2" t="str">
            <v>Purchase Accounting Adjustment</v>
          </cell>
        </row>
        <row r="3">
          <cell r="A3" t="str">
            <v>(In Thousands)</v>
          </cell>
        </row>
        <row r="4">
          <cell r="A4" t="str">
            <v>N:\CONTROLLER\Property Accounting\Reporting &amp; Analysis\Annual Reports\2002\R-1 Schedules\Submitted\[SCHED 352 A - INVESTMENT IN RR PROP (by company).xls]P - 42</v>
          </cell>
        </row>
        <row r="5">
          <cell r="A5">
            <v>35829.575497685182</v>
          </cell>
        </row>
        <row r="6">
          <cell r="A6">
            <v>35829.575497685182</v>
          </cell>
        </row>
        <row r="7">
          <cell r="D7" t="str">
            <v>Revised</v>
          </cell>
        </row>
        <row r="8">
          <cell r="B8" t="str">
            <v>Purchase</v>
          </cell>
          <cell r="D8" t="str">
            <v>Purchase</v>
          </cell>
          <cell r="E8" t="str">
            <v>Remaining</v>
          </cell>
        </row>
        <row r="9">
          <cell r="B9" t="str">
            <v>Acctg</v>
          </cell>
          <cell r="D9" t="str">
            <v>Acctg</v>
          </cell>
          <cell r="E9" t="str">
            <v>Useful</v>
          </cell>
          <cell r="F9" t="str">
            <v>Annual</v>
          </cell>
          <cell r="G9" t="str">
            <v>Amort</v>
          </cell>
          <cell r="GI9">
            <v>2003</v>
          </cell>
        </row>
        <row r="10">
          <cell r="B10" t="str">
            <v>Write Up</v>
          </cell>
          <cell r="C10" t="str">
            <v>Adjustment</v>
          </cell>
          <cell r="D10" t="str">
            <v>Write Up</v>
          </cell>
          <cell r="E10" t="str">
            <v>Life</v>
          </cell>
          <cell r="F10" t="str">
            <v>Amort</v>
          </cell>
          <cell r="G10" t="str">
            <v>Expiration</v>
          </cell>
          <cell r="H10">
            <v>1995</v>
          </cell>
          <cell r="I10">
            <v>1996</v>
          </cell>
          <cell r="J10">
            <v>1997</v>
          </cell>
          <cell r="K10">
            <v>1998</v>
          </cell>
          <cell r="L10">
            <v>1999</v>
          </cell>
          <cell r="M10">
            <v>2000</v>
          </cell>
          <cell r="N10">
            <v>2001</v>
          </cell>
          <cell r="O10">
            <v>2002</v>
          </cell>
          <cell r="Q10">
            <v>2003</v>
          </cell>
          <cell r="S10">
            <v>2004</v>
          </cell>
          <cell r="U10">
            <v>2005</v>
          </cell>
          <cell r="W10">
            <v>2006</v>
          </cell>
          <cell r="Y10">
            <v>2007</v>
          </cell>
          <cell r="AA10">
            <v>2008</v>
          </cell>
          <cell r="AC10">
            <v>2009</v>
          </cell>
          <cell r="AE10">
            <v>2010</v>
          </cell>
          <cell r="AG10">
            <v>2011</v>
          </cell>
          <cell r="AI10">
            <v>2012</v>
          </cell>
          <cell r="AK10">
            <v>2013</v>
          </cell>
          <cell r="AM10">
            <v>2014</v>
          </cell>
          <cell r="AO10">
            <v>2015</v>
          </cell>
          <cell r="AQ10">
            <v>2016</v>
          </cell>
          <cell r="AS10">
            <v>2017</v>
          </cell>
          <cell r="AU10">
            <v>2018</v>
          </cell>
          <cell r="AW10">
            <v>2019</v>
          </cell>
          <cell r="AY10">
            <v>2020</v>
          </cell>
          <cell r="BA10">
            <v>2021</v>
          </cell>
          <cell r="BC10">
            <v>2022</v>
          </cell>
          <cell r="BE10">
            <v>2023</v>
          </cell>
          <cell r="BG10">
            <v>2024</v>
          </cell>
          <cell r="BI10">
            <v>2025</v>
          </cell>
          <cell r="BK10">
            <v>2026</v>
          </cell>
          <cell r="BM10">
            <v>2027</v>
          </cell>
          <cell r="BO10">
            <v>2028</v>
          </cell>
          <cell r="BQ10">
            <v>2029</v>
          </cell>
          <cell r="BS10">
            <v>2030</v>
          </cell>
          <cell r="BU10">
            <v>2031</v>
          </cell>
          <cell r="BW10">
            <v>2032</v>
          </cell>
          <cell r="BY10">
            <v>2033</v>
          </cell>
          <cell r="CA10">
            <v>2034</v>
          </cell>
          <cell r="CC10">
            <v>2035</v>
          </cell>
          <cell r="CE10">
            <v>2036</v>
          </cell>
          <cell r="CG10">
            <v>2037</v>
          </cell>
          <cell r="CI10">
            <v>2038</v>
          </cell>
          <cell r="CK10">
            <v>2039</v>
          </cell>
          <cell r="CM10">
            <v>2040</v>
          </cell>
          <cell r="CO10">
            <v>2041</v>
          </cell>
          <cell r="CQ10">
            <v>2042</v>
          </cell>
          <cell r="CS10">
            <v>2043</v>
          </cell>
          <cell r="CU10">
            <v>2044</v>
          </cell>
          <cell r="CW10">
            <v>2045</v>
          </cell>
          <cell r="CY10">
            <v>2046</v>
          </cell>
          <cell r="DA10">
            <v>2047</v>
          </cell>
          <cell r="DC10">
            <v>2048</v>
          </cell>
          <cell r="DE10">
            <v>2049</v>
          </cell>
          <cell r="DG10">
            <v>2050</v>
          </cell>
          <cell r="DI10">
            <v>2051</v>
          </cell>
          <cell r="DK10">
            <v>2052</v>
          </cell>
          <cell r="DM10">
            <v>2053</v>
          </cell>
          <cell r="DO10">
            <v>2054</v>
          </cell>
          <cell r="DQ10">
            <v>2055</v>
          </cell>
          <cell r="DS10">
            <v>2056</v>
          </cell>
          <cell r="DU10">
            <v>2057</v>
          </cell>
          <cell r="DW10">
            <v>2058</v>
          </cell>
          <cell r="DY10">
            <v>2059</v>
          </cell>
          <cell r="EA10">
            <v>2060</v>
          </cell>
          <cell r="EC10">
            <v>2061</v>
          </cell>
          <cell r="EE10">
            <v>2062</v>
          </cell>
          <cell r="EG10">
            <v>2063</v>
          </cell>
          <cell r="EI10">
            <v>2064</v>
          </cell>
          <cell r="EK10">
            <v>2065</v>
          </cell>
          <cell r="EM10">
            <v>2066</v>
          </cell>
          <cell r="EO10">
            <v>2067</v>
          </cell>
          <cell r="EQ10">
            <v>2068</v>
          </cell>
          <cell r="ES10">
            <v>2069</v>
          </cell>
          <cell r="EU10">
            <v>2070</v>
          </cell>
          <cell r="EW10">
            <v>2071</v>
          </cell>
          <cell r="EY10">
            <v>2072</v>
          </cell>
          <cell r="FA10">
            <v>2073</v>
          </cell>
          <cell r="FC10">
            <v>2074</v>
          </cell>
          <cell r="FE10">
            <v>2075</v>
          </cell>
          <cell r="FG10">
            <v>2076</v>
          </cell>
          <cell r="FI10">
            <v>2077</v>
          </cell>
          <cell r="FK10">
            <v>2078</v>
          </cell>
          <cell r="FM10">
            <v>2079</v>
          </cell>
          <cell r="FO10">
            <v>2080</v>
          </cell>
          <cell r="FQ10">
            <v>2081</v>
          </cell>
          <cell r="FS10">
            <v>2082</v>
          </cell>
          <cell r="FU10">
            <v>2083</v>
          </cell>
          <cell r="FW10">
            <v>2084</v>
          </cell>
          <cell r="FY10">
            <v>2085</v>
          </cell>
          <cell r="GA10">
            <v>2086</v>
          </cell>
          <cell r="GC10">
            <v>2087</v>
          </cell>
          <cell r="GE10">
            <v>2088</v>
          </cell>
          <cell r="GG10" t="str">
            <v>Total</v>
          </cell>
          <cell r="GI10" t="str">
            <v>Balance</v>
          </cell>
        </row>
        <row r="11">
          <cell r="A11" t="str">
            <v>LAND</v>
          </cell>
        </row>
        <row r="12">
          <cell r="A12" t="str">
            <v>Land for Transportation Purposes</v>
          </cell>
        </row>
        <row r="13">
          <cell r="A13" t="str">
            <v>Surplus Land</v>
          </cell>
        </row>
        <row r="14">
          <cell r="A14" t="str">
            <v xml:space="preserve">    TOTAL LAND</v>
          </cell>
        </row>
        <row r="16">
          <cell r="A16" t="str">
            <v>DEPRECIABLE ROAD</v>
          </cell>
        </row>
        <row r="17">
          <cell r="A17" t="str">
            <v>Grading</v>
          </cell>
        </row>
        <row r="18">
          <cell r="A18" t="str">
            <v>Other Right of Way Expenditures</v>
          </cell>
        </row>
        <row r="19">
          <cell r="A19" t="str">
            <v>Tunnels and Subways</v>
          </cell>
        </row>
        <row r="20">
          <cell r="A20" t="str">
            <v>Brdges, Trestles and Culverts</v>
          </cell>
        </row>
        <row r="21">
          <cell r="A21" t="str">
            <v>Ties</v>
          </cell>
        </row>
        <row r="22">
          <cell r="A22" t="str">
            <v>Rail and Other Track Material</v>
          </cell>
        </row>
        <row r="23">
          <cell r="A23" t="str">
            <v>Ballast</v>
          </cell>
        </row>
        <row r="24">
          <cell r="A24" t="str">
            <v>Fences, Snowsheds and Signs</v>
          </cell>
        </row>
        <row r="25">
          <cell r="A25" t="str">
            <v>Station and Office Buildings</v>
          </cell>
        </row>
        <row r="26">
          <cell r="A26" t="str">
            <v>Roadway Buildings</v>
          </cell>
        </row>
        <row r="27">
          <cell r="A27" t="str">
            <v>Water Stations</v>
          </cell>
        </row>
        <row r="28">
          <cell r="A28" t="str">
            <v>Fuel Stations</v>
          </cell>
        </row>
        <row r="29">
          <cell r="A29" t="str">
            <v>Shops and Enginehouses</v>
          </cell>
        </row>
        <row r="30">
          <cell r="A30" t="str">
            <v>Intermodal Terminals</v>
          </cell>
        </row>
        <row r="31">
          <cell r="A31" t="str">
            <v>Communications Systems</v>
          </cell>
        </row>
        <row r="32">
          <cell r="A32" t="str">
            <v>Signals and Interlockers</v>
          </cell>
        </row>
        <row r="33">
          <cell r="A33" t="str">
            <v>Power Plants</v>
          </cell>
        </row>
        <row r="34">
          <cell r="A34" t="str">
            <v>Power Transmission Systems</v>
          </cell>
        </row>
        <row r="35">
          <cell r="A35" t="str">
            <v>Miscellaneous Structures</v>
          </cell>
        </row>
        <row r="36">
          <cell r="A36" t="str">
            <v>Roadway Machines</v>
          </cell>
        </row>
        <row r="37">
          <cell r="A37" t="str">
            <v>Public Improvements-Construction</v>
          </cell>
        </row>
        <row r="38">
          <cell r="A38" t="str">
            <v>Shop Machinery</v>
          </cell>
        </row>
        <row r="39">
          <cell r="A39" t="str">
            <v>Power Plant Equipment</v>
          </cell>
        </row>
        <row r="40">
          <cell r="A40" t="str">
            <v xml:space="preserve">    TOTAL DEPRECIABLE ROAD</v>
          </cell>
        </row>
        <row r="42">
          <cell r="A42" t="str">
            <v>EQUIPMENT</v>
          </cell>
        </row>
        <row r="43">
          <cell r="A43" t="str">
            <v>Locomotives</v>
          </cell>
        </row>
        <row r="44">
          <cell r="A44" t="str">
            <v>Freight Train Cars</v>
          </cell>
        </row>
        <row r="45">
          <cell r="A45" t="str">
            <v>Work Equipment</v>
          </cell>
        </row>
        <row r="46">
          <cell r="A46" t="str">
            <v>Miscellaneous Equipment</v>
          </cell>
        </row>
        <row r="47">
          <cell r="A47" t="str">
            <v>Computer Systems</v>
          </cell>
        </row>
        <row r="48">
          <cell r="A48" t="str">
            <v>Computer Software</v>
          </cell>
        </row>
        <row r="49">
          <cell r="A49" t="str">
            <v xml:space="preserve">    TOTAL EQUIPMENT</v>
          </cell>
        </row>
        <row r="51">
          <cell r="A51" t="str">
            <v>MISCELLANEOUS</v>
          </cell>
        </row>
        <row r="52">
          <cell r="A52" t="str">
            <v>Interest During Construction</v>
          </cell>
        </row>
        <row r="53">
          <cell r="A53" t="str">
            <v>Construction Work In Progress</v>
          </cell>
        </row>
        <row r="54">
          <cell r="A54" t="str">
            <v xml:space="preserve">    TOTAL MISCELLANEOUS</v>
          </cell>
        </row>
        <row r="55">
          <cell r="A55" t="str">
            <v>TOTAL OPERATING ASSETS</v>
          </cell>
        </row>
        <row r="57">
          <cell r="A57" t="str">
            <v>NON-OPERATING ASSETS</v>
          </cell>
        </row>
        <row r="58">
          <cell r="A58" t="str">
            <v>Buildings Held for Sale</v>
          </cell>
        </row>
        <row r="59">
          <cell r="A59" t="str">
            <v>Buildings</v>
          </cell>
        </row>
        <row r="60">
          <cell r="A60" t="str">
            <v>Bridges</v>
          </cell>
        </row>
        <row r="61">
          <cell r="A61" t="str">
            <v>Royalty Income</v>
          </cell>
        </row>
        <row r="62">
          <cell r="A62" t="str">
            <v xml:space="preserve">   TOTAL NON-OPERATING ASSETS:</v>
          </cell>
        </row>
        <row r="64">
          <cell r="A64" t="str">
            <v>GRAND TOTAL</v>
          </cell>
        </row>
      </sheetData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o Depr"/>
      <sheetName val="Jul29 changes"/>
      <sheetName val="SD70MACs_By unit"/>
      <sheetName val="By AFE#"/>
      <sheetName val="Loco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L2">
            <v>0</v>
          </cell>
          <cell r="M2">
            <v>0.11</v>
          </cell>
          <cell r="N2">
            <v>7.0000000000000007E-2</v>
          </cell>
          <cell r="O2">
            <v>3.0800000000000001E-2</v>
          </cell>
          <cell r="P2">
            <v>6.7199999999999996E-2</v>
          </cell>
        </row>
        <row r="3">
          <cell r="L3">
            <v>1801</v>
          </cell>
          <cell r="M3">
            <v>0.12</v>
          </cell>
          <cell r="N3">
            <v>7.0000000000000007E-2</v>
          </cell>
          <cell r="O3">
            <v>2.6100000000000002E-2</v>
          </cell>
          <cell r="P3">
            <v>3.7999999999999999E-2</v>
          </cell>
        </row>
        <row r="4">
          <cell r="L4">
            <v>3000</v>
          </cell>
          <cell r="M4">
            <v>0.22</v>
          </cell>
          <cell r="N4">
            <v>0.16</v>
          </cell>
          <cell r="O4">
            <v>4.1200000000000001E-2</v>
          </cell>
          <cell r="P4">
            <v>9.4500000000000001E-2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o Depr"/>
      <sheetName val="Jul29 changes"/>
      <sheetName val="SD70MACs_By unit"/>
      <sheetName val="By AFE#"/>
      <sheetName val="Loco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L2">
            <v>0</v>
          </cell>
          <cell r="M2">
            <v>0.11</v>
          </cell>
          <cell r="N2">
            <v>7.0000000000000007E-2</v>
          </cell>
          <cell r="O2">
            <v>3.0800000000000001E-2</v>
          </cell>
          <cell r="P2">
            <v>6.7199999999999996E-2</v>
          </cell>
        </row>
        <row r="3">
          <cell r="L3">
            <v>1801</v>
          </cell>
          <cell r="M3">
            <v>0.12</v>
          </cell>
          <cell r="N3">
            <v>7.0000000000000007E-2</v>
          </cell>
          <cell r="O3">
            <v>2.6100000000000002E-2</v>
          </cell>
          <cell r="P3">
            <v>3.7999999999999999E-2</v>
          </cell>
        </row>
        <row r="4">
          <cell r="L4">
            <v>3000</v>
          </cell>
          <cell r="M4">
            <v>0.22</v>
          </cell>
          <cell r="N4">
            <v>0.16</v>
          </cell>
          <cell r="O4">
            <v>4.1200000000000001E-2</v>
          </cell>
          <cell r="P4">
            <v>9.4500000000000001E-2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hange Tracking"/>
      <sheetName val="Rate file"/>
      <sheetName val="Sep 06 Data"/>
      <sheetName val="Oct 06 Data"/>
      <sheetName val="Nov 06 Data"/>
      <sheetName val="Dec 06 Data"/>
      <sheetName val="Sep 06 Calc"/>
      <sheetName val="Oct 06 Calc"/>
      <sheetName val="Nov 06 Calc"/>
      <sheetName val="Dec 06 Calc"/>
    </sheetNames>
    <sheetDataSet>
      <sheetData sheetId="0" refreshError="1"/>
      <sheetData sheetId="1" refreshError="1"/>
      <sheetData sheetId="2" refreshError="1">
        <row r="6">
          <cell r="A6" t="str">
            <v>2.1.98.0</v>
          </cell>
          <cell r="B6">
            <v>2</v>
          </cell>
          <cell r="C6">
            <v>1</v>
          </cell>
          <cell r="D6">
            <v>98</v>
          </cell>
          <cell r="E6">
            <v>0</v>
          </cell>
          <cell r="F6">
            <v>0</v>
          </cell>
        </row>
        <row r="7">
          <cell r="A7" t="str">
            <v>2.1.98.A</v>
          </cell>
          <cell r="B7">
            <v>2</v>
          </cell>
          <cell r="C7">
            <v>1</v>
          </cell>
          <cell r="D7">
            <v>98</v>
          </cell>
          <cell r="E7" t="str">
            <v>A</v>
          </cell>
          <cell r="F7">
            <v>0</v>
          </cell>
        </row>
        <row r="8">
          <cell r="A8" t="str">
            <v>2.1.99.0</v>
          </cell>
          <cell r="B8">
            <v>2</v>
          </cell>
          <cell r="C8">
            <v>1</v>
          </cell>
          <cell r="D8">
            <v>99</v>
          </cell>
          <cell r="E8">
            <v>0</v>
          </cell>
          <cell r="F8">
            <v>0</v>
          </cell>
        </row>
        <row r="9">
          <cell r="A9" t="str">
            <v>2.3.99.0</v>
          </cell>
          <cell r="B9">
            <v>2</v>
          </cell>
          <cell r="C9">
            <v>3</v>
          </cell>
          <cell r="D9">
            <v>99</v>
          </cell>
          <cell r="E9">
            <v>0</v>
          </cell>
          <cell r="F9">
            <v>0</v>
          </cell>
        </row>
        <row r="10">
          <cell r="A10" t="str">
            <v>2.15.99.0</v>
          </cell>
          <cell r="B10">
            <v>2</v>
          </cell>
          <cell r="C10">
            <v>15</v>
          </cell>
          <cell r="D10">
            <v>99</v>
          </cell>
          <cell r="E10">
            <v>0</v>
          </cell>
          <cell r="F10">
            <v>0</v>
          </cell>
        </row>
        <row r="11">
          <cell r="A11" t="str">
            <v>2.18.99.0</v>
          </cell>
          <cell r="B11">
            <v>2</v>
          </cell>
          <cell r="C11">
            <v>18</v>
          </cell>
          <cell r="D11">
            <v>99</v>
          </cell>
          <cell r="E11">
            <v>0</v>
          </cell>
          <cell r="F11">
            <v>0</v>
          </cell>
        </row>
        <row r="12">
          <cell r="A12" t="str">
            <v>2.1.99.1</v>
          </cell>
          <cell r="B12">
            <v>2</v>
          </cell>
          <cell r="C12">
            <v>1</v>
          </cell>
          <cell r="D12">
            <v>99</v>
          </cell>
          <cell r="E12">
            <v>1</v>
          </cell>
          <cell r="F12">
            <v>0</v>
          </cell>
        </row>
        <row r="13">
          <cell r="A13" t="str">
            <v>2.1.99.2</v>
          </cell>
          <cell r="B13">
            <v>2</v>
          </cell>
          <cell r="C13">
            <v>1</v>
          </cell>
          <cell r="D13">
            <v>99</v>
          </cell>
          <cell r="E13">
            <v>2</v>
          </cell>
          <cell r="F13">
            <v>0</v>
          </cell>
        </row>
        <row r="14">
          <cell r="A14" t="str">
            <v>2.1.99.A</v>
          </cell>
          <cell r="B14">
            <v>2</v>
          </cell>
          <cell r="C14">
            <v>1</v>
          </cell>
          <cell r="D14">
            <v>99</v>
          </cell>
          <cell r="E14" t="str">
            <v>A</v>
          </cell>
          <cell r="F14">
            <v>0</v>
          </cell>
        </row>
        <row r="15">
          <cell r="A15" t="str">
            <v>2.3.99.A</v>
          </cell>
          <cell r="B15">
            <v>2</v>
          </cell>
          <cell r="C15">
            <v>3</v>
          </cell>
          <cell r="D15">
            <v>99</v>
          </cell>
          <cell r="E15" t="str">
            <v>A</v>
          </cell>
          <cell r="F15">
            <v>0</v>
          </cell>
        </row>
        <row r="16">
          <cell r="A16" t="str">
            <v>2.15.99.A</v>
          </cell>
          <cell r="B16">
            <v>2</v>
          </cell>
          <cell r="C16">
            <v>15</v>
          </cell>
          <cell r="D16">
            <v>99</v>
          </cell>
          <cell r="E16" t="str">
            <v>A</v>
          </cell>
          <cell r="F16">
            <v>0</v>
          </cell>
        </row>
        <row r="17">
          <cell r="A17" t="str">
            <v>2.18.99.A</v>
          </cell>
          <cell r="B17">
            <v>2</v>
          </cell>
          <cell r="C17">
            <v>18</v>
          </cell>
          <cell r="D17">
            <v>99</v>
          </cell>
          <cell r="E17" t="str">
            <v>A</v>
          </cell>
          <cell r="F17">
            <v>0</v>
          </cell>
        </row>
        <row r="18">
          <cell r="A18" t="str">
            <v>2.1.99.I</v>
          </cell>
          <cell r="B18">
            <v>2</v>
          </cell>
          <cell r="C18">
            <v>1</v>
          </cell>
          <cell r="D18">
            <v>99</v>
          </cell>
          <cell r="E18" t="str">
            <v>I</v>
          </cell>
          <cell r="F18">
            <v>0</v>
          </cell>
        </row>
        <row r="19">
          <cell r="A19" t="str">
            <v>2.1.99.N</v>
          </cell>
          <cell r="B19">
            <v>2</v>
          </cell>
          <cell r="C19">
            <v>1</v>
          </cell>
          <cell r="D19">
            <v>99</v>
          </cell>
          <cell r="E19" t="str">
            <v>N</v>
          </cell>
          <cell r="F19">
            <v>0</v>
          </cell>
        </row>
        <row r="20">
          <cell r="A20" t="str">
            <v>2.0B.99.N</v>
          </cell>
          <cell r="B20">
            <v>2</v>
          </cell>
          <cell r="C20" t="str">
            <v>0B</v>
          </cell>
          <cell r="D20">
            <v>99</v>
          </cell>
          <cell r="E20" t="str">
            <v>N</v>
          </cell>
          <cell r="F20">
            <v>0</v>
          </cell>
        </row>
        <row r="21">
          <cell r="A21" t="str">
            <v>2.0E.99.N</v>
          </cell>
          <cell r="B21">
            <v>2</v>
          </cell>
          <cell r="C21" t="str">
            <v>0E</v>
          </cell>
          <cell r="D21">
            <v>99</v>
          </cell>
          <cell r="E21" t="str">
            <v>N</v>
          </cell>
          <cell r="F21">
            <v>0</v>
          </cell>
        </row>
        <row r="22">
          <cell r="A22" t="str">
            <v>2.0M.99.N</v>
          </cell>
          <cell r="B22">
            <v>2</v>
          </cell>
          <cell r="C22" t="str">
            <v>0M</v>
          </cell>
          <cell r="D22">
            <v>99</v>
          </cell>
          <cell r="E22" t="str">
            <v>N</v>
          </cell>
          <cell r="F22">
            <v>0</v>
          </cell>
        </row>
        <row r="23">
          <cell r="A23" t="str">
            <v>2.0V.99.N</v>
          </cell>
          <cell r="B23">
            <v>2</v>
          </cell>
          <cell r="C23" t="str">
            <v>0V</v>
          </cell>
          <cell r="D23">
            <v>99</v>
          </cell>
          <cell r="E23" t="str">
            <v>N</v>
          </cell>
          <cell r="F23">
            <v>0</v>
          </cell>
        </row>
        <row r="24">
          <cell r="A24" t="str">
            <v>2.0W.99.N</v>
          </cell>
          <cell r="B24">
            <v>2</v>
          </cell>
          <cell r="C24" t="str">
            <v>0W</v>
          </cell>
          <cell r="D24">
            <v>99</v>
          </cell>
          <cell r="E24" t="str">
            <v>N</v>
          </cell>
          <cell r="F24">
            <v>0</v>
          </cell>
        </row>
        <row r="25">
          <cell r="A25" t="str">
            <v>2.0X.99.N</v>
          </cell>
          <cell r="B25">
            <v>2</v>
          </cell>
          <cell r="C25" t="str">
            <v>0X</v>
          </cell>
          <cell r="D25">
            <v>99</v>
          </cell>
          <cell r="E25" t="str">
            <v>N</v>
          </cell>
          <cell r="F25">
            <v>0</v>
          </cell>
        </row>
        <row r="26">
          <cell r="A26" t="str">
            <v>2.18.99.N</v>
          </cell>
          <cell r="B26">
            <v>2</v>
          </cell>
          <cell r="C26">
            <v>18</v>
          </cell>
          <cell r="D26">
            <v>99</v>
          </cell>
          <cell r="E26" t="str">
            <v>N</v>
          </cell>
          <cell r="F26">
            <v>0</v>
          </cell>
        </row>
        <row r="27">
          <cell r="A27" t="str">
            <v>2.23.99.N</v>
          </cell>
          <cell r="B27">
            <v>2</v>
          </cell>
          <cell r="C27">
            <v>23</v>
          </cell>
          <cell r="D27">
            <v>99</v>
          </cell>
          <cell r="E27" t="str">
            <v>N</v>
          </cell>
          <cell r="F27">
            <v>0</v>
          </cell>
        </row>
        <row r="28">
          <cell r="A28" t="str">
            <v>2.70.99.N</v>
          </cell>
          <cell r="B28">
            <v>2</v>
          </cell>
          <cell r="C28">
            <v>70</v>
          </cell>
          <cell r="D28">
            <v>99</v>
          </cell>
          <cell r="E28" t="str">
            <v>N</v>
          </cell>
          <cell r="F28">
            <v>0</v>
          </cell>
        </row>
        <row r="29">
          <cell r="A29" t="str">
            <v>2.7N.99.N</v>
          </cell>
          <cell r="B29">
            <v>2</v>
          </cell>
          <cell r="C29" t="str">
            <v>7N</v>
          </cell>
          <cell r="D29">
            <v>99</v>
          </cell>
          <cell r="E29" t="str">
            <v>N</v>
          </cell>
          <cell r="F29">
            <v>0</v>
          </cell>
        </row>
        <row r="30">
          <cell r="A30" t="str">
            <v>2.7P.99.N</v>
          </cell>
          <cell r="B30">
            <v>2</v>
          </cell>
          <cell r="C30" t="str">
            <v>7P</v>
          </cell>
          <cell r="D30">
            <v>99</v>
          </cell>
          <cell r="E30" t="str">
            <v>N</v>
          </cell>
          <cell r="F30">
            <v>0</v>
          </cell>
        </row>
        <row r="31">
          <cell r="A31" t="str">
            <v>2.7R.99.N</v>
          </cell>
          <cell r="B31">
            <v>2</v>
          </cell>
          <cell r="C31" t="str">
            <v>7R</v>
          </cell>
          <cell r="D31">
            <v>99</v>
          </cell>
          <cell r="E31" t="str">
            <v>N</v>
          </cell>
          <cell r="F31">
            <v>0</v>
          </cell>
        </row>
        <row r="32">
          <cell r="A32" t="str">
            <v>2.7U.99.N</v>
          </cell>
          <cell r="B32">
            <v>2</v>
          </cell>
          <cell r="C32" t="str">
            <v>7U</v>
          </cell>
          <cell r="D32">
            <v>99</v>
          </cell>
          <cell r="E32" t="str">
            <v>N</v>
          </cell>
          <cell r="F32">
            <v>0</v>
          </cell>
        </row>
        <row r="33">
          <cell r="A33" t="str">
            <v>3.1.10.0</v>
          </cell>
          <cell r="B33">
            <v>3</v>
          </cell>
          <cell r="C33">
            <v>1</v>
          </cell>
          <cell r="D33">
            <v>10</v>
          </cell>
          <cell r="E33">
            <v>0</v>
          </cell>
          <cell r="F33">
            <v>1.0500000000000001E-2</v>
          </cell>
        </row>
        <row r="34">
          <cell r="A34" t="str">
            <v>3.1.10.1</v>
          </cell>
          <cell r="B34">
            <v>3</v>
          </cell>
          <cell r="C34">
            <v>1</v>
          </cell>
          <cell r="D34">
            <v>10</v>
          </cell>
          <cell r="E34">
            <v>1</v>
          </cell>
          <cell r="F34">
            <v>1.0500000000000001E-2</v>
          </cell>
        </row>
        <row r="35">
          <cell r="A35" t="str">
            <v>3.1.10.A</v>
          </cell>
          <cell r="B35">
            <v>3</v>
          </cell>
          <cell r="C35">
            <v>1</v>
          </cell>
          <cell r="D35">
            <v>10</v>
          </cell>
          <cell r="E35" t="str">
            <v>A</v>
          </cell>
          <cell r="F35">
            <v>1.0500000000000001E-2</v>
          </cell>
        </row>
        <row r="36">
          <cell r="A36" t="str">
            <v>3.1.10.I</v>
          </cell>
          <cell r="B36">
            <v>3</v>
          </cell>
          <cell r="C36">
            <v>1</v>
          </cell>
          <cell r="D36">
            <v>10</v>
          </cell>
          <cell r="E36" t="str">
            <v>I</v>
          </cell>
          <cell r="F36">
            <v>1.0500000000000001E-2</v>
          </cell>
        </row>
        <row r="37">
          <cell r="A37" t="str">
            <v>3.1.10.N</v>
          </cell>
          <cell r="B37">
            <v>3</v>
          </cell>
          <cell r="C37">
            <v>1</v>
          </cell>
          <cell r="D37">
            <v>10</v>
          </cell>
          <cell r="E37" t="str">
            <v>N</v>
          </cell>
          <cell r="F37">
            <v>1.0500000000000001E-2</v>
          </cell>
        </row>
        <row r="38">
          <cell r="A38" t="str">
            <v>3.0B.10.N</v>
          </cell>
          <cell r="B38">
            <v>3</v>
          </cell>
          <cell r="C38" t="str">
            <v>0B</v>
          </cell>
          <cell r="D38">
            <v>10</v>
          </cell>
          <cell r="E38" t="str">
            <v>N</v>
          </cell>
          <cell r="F38">
            <v>1.0500000000000001E-2</v>
          </cell>
        </row>
        <row r="39">
          <cell r="A39" t="str">
            <v>3.7U.10.N</v>
          </cell>
          <cell r="B39">
            <v>3</v>
          </cell>
          <cell r="C39" t="str">
            <v>7U</v>
          </cell>
          <cell r="D39">
            <v>10</v>
          </cell>
          <cell r="E39" t="str">
            <v>N</v>
          </cell>
          <cell r="F39">
            <v>1.0500000000000001E-2</v>
          </cell>
        </row>
        <row r="40">
          <cell r="A40" t="str">
            <v>3.1.20.0</v>
          </cell>
          <cell r="B40">
            <v>3</v>
          </cell>
          <cell r="C40">
            <v>1</v>
          </cell>
          <cell r="D40">
            <v>20</v>
          </cell>
          <cell r="E40">
            <v>0</v>
          </cell>
          <cell r="F40">
            <v>1.0500000000000001E-2</v>
          </cell>
        </row>
        <row r="41">
          <cell r="A41" t="str">
            <v>3.3.20.0</v>
          </cell>
          <cell r="B41">
            <v>3</v>
          </cell>
          <cell r="C41">
            <v>3</v>
          </cell>
          <cell r="D41">
            <v>20</v>
          </cell>
          <cell r="E41">
            <v>0</v>
          </cell>
          <cell r="F41">
            <v>1.0500000000000001E-2</v>
          </cell>
        </row>
        <row r="42">
          <cell r="A42" t="str">
            <v>3.18.20.0</v>
          </cell>
          <cell r="B42">
            <v>3</v>
          </cell>
          <cell r="C42">
            <v>18</v>
          </cell>
          <cell r="D42">
            <v>20</v>
          </cell>
          <cell r="E42">
            <v>0</v>
          </cell>
          <cell r="F42">
            <v>1.0500000000000001E-2</v>
          </cell>
        </row>
        <row r="43">
          <cell r="A43" t="str">
            <v>3.1.20.1</v>
          </cell>
          <cell r="B43">
            <v>3</v>
          </cell>
          <cell r="C43">
            <v>1</v>
          </cell>
          <cell r="D43">
            <v>20</v>
          </cell>
          <cell r="E43">
            <v>1</v>
          </cell>
          <cell r="F43">
            <v>1.0500000000000001E-2</v>
          </cell>
        </row>
        <row r="44">
          <cell r="A44" t="str">
            <v>3.1.20.3</v>
          </cell>
          <cell r="B44">
            <v>3</v>
          </cell>
          <cell r="C44">
            <v>1</v>
          </cell>
          <cell r="D44">
            <v>20</v>
          </cell>
          <cell r="E44">
            <v>3</v>
          </cell>
          <cell r="F44">
            <v>1.0500000000000001E-2</v>
          </cell>
        </row>
        <row r="45">
          <cell r="A45" t="str">
            <v>3.1.20.A</v>
          </cell>
          <cell r="B45">
            <v>3</v>
          </cell>
          <cell r="C45">
            <v>1</v>
          </cell>
          <cell r="D45">
            <v>20</v>
          </cell>
          <cell r="E45" t="str">
            <v>A</v>
          </cell>
          <cell r="F45">
            <v>1.0500000000000001E-2</v>
          </cell>
        </row>
        <row r="46">
          <cell r="A46" t="str">
            <v>3.3.20.A</v>
          </cell>
          <cell r="B46">
            <v>3</v>
          </cell>
          <cell r="C46">
            <v>3</v>
          </cell>
          <cell r="D46">
            <v>20</v>
          </cell>
          <cell r="E46" t="str">
            <v>A</v>
          </cell>
          <cell r="F46">
            <v>1.0500000000000001E-2</v>
          </cell>
        </row>
        <row r="47">
          <cell r="A47" t="str">
            <v>3.18.20.A</v>
          </cell>
          <cell r="B47">
            <v>3</v>
          </cell>
          <cell r="C47">
            <v>18</v>
          </cell>
          <cell r="D47">
            <v>20</v>
          </cell>
          <cell r="E47" t="str">
            <v>A</v>
          </cell>
          <cell r="F47">
            <v>1.0500000000000001E-2</v>
          </cell>
        </row>
        <row r="48">
          <cell r="A48" t="str">
            <v>3.1.20.I</v>
          </cell>
          <cell r="B48">
            <v>3</v>
          </cell>
          <cell r="C48">
            <v>1</v>
          </cell>
          <cell r="D48">
            <v>20</v>
          </cell>
          <cell r="E48" t="str">
            <v>I</v>
          </cell>
          <cell r="F48">
            <v>1.0500000000000001E-2</v>
          </cell>
        </row>
        <row r="49">
          <cell r="A49" t="str">
            <v>3.1.20.N</v>
          </cell>
          <cell r="B49">
            <v>3</v>
          </cell>
          <cell r="C49">
            <v>1</v>
          </cell>
          <cell r="D49">
            <v>20</v>
          </cell>
          <cell r="E49" t="str">
            <v>N</v>
          </cell>
          <cell r="F49">
            <v>1.0500000000000001E-2</v>
          </cell>
        </row>
        <row r="50">
          <cell r="A50" t="str">
            <v>3.0E.20.N</v>
          </cell>
          <cell r="B50">
            <v>3</v>
          </cell>
          <cell r="C50" t="str">
            <v>0E</v>
          </cell>
          <cell r="D50">
            <v>20</v>
          </cell>
          <cell r="E50" t="str">
            <v>N</v>
          </cell>
          <cell r="F50">
            <v>1.0500000000000001E-2</v>
          </cell>
        </row>
        <row r="51">
          <cell r="A51" t="str">
            <v>3.0M.20.N</v>
          </cell>
          <cell r="B51">
            <v>3</v>
          </cell>
          <cell r="C51" t="str">
            <v>0M</v>
          </cell>
          <cell r="D51">
            <v>20</v>
          </cell>
          <cell r="E51" t="str">
            <v>N</v>
          </cell>
          <cell r="F51">
            <v>1.0500000000000001E-2</v>
          </cell>
        </row>
        <row r="52">
          <cell r="A52" t="str">
            <v>3.18.20.N</v>
          </cell>
          <cell r="B52">
            <v>3</v>
          </cell>
          <cell r="C52">
            <v>18</v>
          </cell>
          <cell r="D52">
            <v>20</v>
          </cell>
          <cell r="E52" t="str">
            <v>N</v>
          </cell>
          <cell r="F52">
            <v>1.0500000000000001E-2</v>
          </cell>
        </row>
        <row r="53">
          <cell r="A53" t="str">
            <v>3.7P.20.N</v>
          </cell>
          <cell r="B53">
            <v>3</v>
          </cell>
          <cell r="C53" t="str">
            <v>7P</v>
          </cell>
          <cell r="D53">
            <v>20</v>
          </cell>
          <cell r="E53" t="str">
            <v>N</v>
          </cell>
          <cell r="F53">
            <v>1.0500000000000001E-2</v>
          </cell>
        </row>
        <row r="54">
          <cell r="A54" t="str">
            <v>3.7U.20.N</v>
          </cell>
          <cell r="B54">
            <v>3</v>
          </cell>
          <cell r="C54" t="str">
            <v>7U</v>
          </cell>
          <cell r="D54">
            <v>20</v>
          </cell>
          <cell r="E54" t="str">
            <v>N</v>
          </cell>
          <cell r="F54">
            <v>1.0500000000000001E-2</v>
          </cell>
        </row>
        <row r="55">
          <cell r="A55" t="str">
            <v>3.1.30.0</v>
          </cell>
          <cell r="B55">
            <v>3</v>
          </cell>
          <cell r="C55">
            <v>1</v>
          </cell>
          <cell r="D55">
            <v>30</v>
          </cell>
          <cell r="E55">
            <v>0</v>
          </cell>
          <cell r="F55">
            <v>0</v>
          </cell>
        </row>
        <row r="56">
          <cell r="A56" t="str">
            <v>3.1.30.1</v>
          </cell>
          <cell r="B56">
            <v>3</v>
          </cell>
          <cell r="C56">
            <v>1</v>
          </cell>
          <cell r="D56">
            <v>30</v>
          </cell>
          <cell r="E56">
            <v>1</v>
          </cell>
          <cell r="F56">
            <v>0</v>
          </cell>
        </row>
        <row r="57">
          <cell r="A57" t="str">
            <v>3.1.30.A</v>
          </cell>
          <cell r="B57">
            <v>3</v>
          </cell>
          <cell r="C57">
            <v>1</v>
          </cell>
          <cell r="D57">
            <v>30</v>
          </cell>
          <cell r="E57" t="str">
            <v>A</v>
          </cell>
          <cell r="F57">
            <v>0</v>
          </cell>
        </row>
        <row r="58">
          <cell r="A58" t="str">
            <v>3.1.40.0</v>
          </cell>
          <cell r="B58">
            <v>3</v>
          </cell>
          <cell r="C58">
            <v>1</v>
          </cell>
          <cell r="D58">
            <v>40</v>
          </cell>
          <cell r="E58">
            <v>0</v>
          </cell>
          <cell r="F58">
            <v>1.0500000000000001E-2</v>
          </cell>
        </row>
        <row r="59">
          <cell r="A59" t="str">
            <v>3.3.40.0</v>
          </cell>
          <cell r="B59">
            <v>3</v>
          </cell>
          <cell r="C59">
            <v>3</v>
          </cell>
          <cell r="D59">
            <v>40</v>
          </cell>
          <cell r="E59">
            <v>0</v>
          </cell>
          <cell r="F59">
            <v>1.0500000000000001E-2</v>
          </cell>
        </row>
        <row r="60">
          <cell r="A60" t="str">
            <v>3.15.40.0</v>
          </cell>
          <cell r="B60">
            <v>3</v>
          </cell>
          <cell r="C60">
            <v>15</v>
          </cell>
          <cell r="D60">
            <v>40</v>
          </cell>
          <cell r="E60">
            <v>0</v>
          </cell>
          <cell r="F60">
            <v>1.0500000000000001E-2</v>
          </cell>
        </row>
        <row r="61">
          <cell r="A61" t="str">
            <v>3.1.40.1</v>
          </cell>
          <cell r="B61">
            <v>3</v>
          </cell>
          <cell r="C61">
            <v>1</v>
          </cell>
          <cell r="D61">
            <v>40</v>
          </cell>
          <cell r="E61">
            <v>1</v>
          </cell>
          <cell r="F61">
            <v>1.0500000000000001E-2</v>
          </cell>
        </row>
        <row r="62">
          <cell r="A62" t="str">
            <v>3.1.40.3</v>
          </cell>
          <cell r="B62">
            <v>3</v>
          </cell>
          <cell r="C62">
            <v>1</v>
          </cell>
          <cell r="D62">
            <v>40</v>
          </cell>
          <cell r="E62">
            <v>3</v>
          </cell>
          <cell r="F62">
            <v>1.0500000000000001E-2</v>
          </cell>
        </row>
        <row r="63">
          <cell r="A63" t="str">
            <v>3.70.40.3</v>
          </cell>
          <cell r="B63">
            <v>3</v>
          </cell>
          <cell r="C63">
            <v>70</v>
          </cell>
          <cell r="D63">
            <v>40</v>
          </cell>
          <cell r="E63">
            <v>3</v>
          </cell>
          <cell r="F63">
            <v>1.0500000000000001E-2</v>
          </cell>
        </row>
        <row r="64">
          <cell r="A64" t="str">
            <v>3.71.40.3</v>
          </cell>
          <cell r="B64">
            <v>3</v>
          </cell>
          <cell r="C64">
            <v>71</v>
          </cell>
          <cell r="D64">
            <v>40</v>
          </cell>
          <cell r="E64">
            <v>3</v>
          </cell>
          <cell r="F64">
            <v>1.0500000000000001E-2</v>
          </cell>
        </row>
        <row r="65">
          <cell r="A65" t="str">
            <v>3.1.40.A</v>
          </cell>
          <cell r="B65">
            <v>3</v>
          </cell>
          <cell r="C65">
            <v>1</v>
          </cell>
          <cell r="D65">
            <v>40</v>
          </cell>
          <cell r="E65" t="str">
            <v>A</v>
          </cell>
          <cell r="F65">
            <v>1.0500000000000001E-2</v>
          </cell>
        </row>
        <row r="66">
          <cell r="A66" t="str">
            <v>3.3.40.A</v>
          </cell>
          <cell r="B66">
            <v>3</v>
          </cell>
          <cell r="C66">
            <v>3</v>
          </cell>
          <cell r="D66">
            <v>40</v>
          </cell>
          <cell r="E66" t="str">
            <v>A</v>
          </cell>
          <cell r="F66">
            <v>1.0500000000000001E-2</v>
          </cell>
        </row>
        <row r="67">
          <cell r="A67" t="str">
            <v>3.14.40.A</v>
          </cell>
          <cell r="B67">
            <v>3</v>
          </cell>
          <cell r="C67">
            <v>14</v>
          </cell>
          <cell r="D67">
            <v>40</v>
          </cell>
          <cell r="E67" t="str">
            <v>A</v>
          </cell>
          <cell r="F67">
            <v>1.0500000000000001E-2</v>
          </cell>
        </row>
        <row r="68">
          <cell r="A68" t="str">
            <v>3.15.40.A</v>
          </cell>
          <cell r="B68">
            <v>3</v>
          </cell>
          <cell r="C68">
            <v>15</v>
          </cell>
          <cell r="D68">
            <v>40</v>
          </cell>
          <cell r="E68" t="str">
            <v>A</v>
          </cell>
          <cell r="F68">
            <v>1.0500000000000001E-2</v>
          </cell>
        </row>
        <row r="69">
          <cell r="A69" t="str">
            <v>3.70.40.B</v>
          </cell>
          <cell r="B69">
            <v>3</v>
          </cell>
          <cell r="C69">
            <v>70</v>
          </cell>
          <cell r="D69">
            <v>40</v>
          </cell>
          <cell r="E69" t="str">
            <v>B</v>
          </cell>
          <cell r="F69">
            <v>1.0500000000000001E-2</v>
          </cell>
        </row>
        <row r="70">
          <cell r="A70" t="str">
            <v>3.71.40.B</v>
          </cell>
          <cell r="B70">
            <v>3</v>
          </cell>
          <cell r="C70">
            <v>71</v>
          </cell>
          <cell r="D70">
            <v>40</v>
          </cell>
          <cell r="E70" t="str">
            <v>B</v>
          </cell>
          <cell r="F70">
            <v>1.0500000000000001E-2</v>
          </cell>
        </row>
        <row r="71">
          <cell r="A71" t="str">
            <v>3.1.40.I</v>
          </cell>
          <cell r="B71">
            <v>3</v>
          </cell>
          <cell r="C71">
            <v>1</v>
          </cell>
          <cell r="D71">
            <v>40</v>
          </cell>
          <cell r="E71" t="str">
            <v>I</v>
          </cell>
          <cell r="F71">
            <v>1.0500000000000001E-2</v>
          </cell>
        </row>
        <row r="72">
          <cell r="A72" t="str">
            <v>3.14.40.I</v>
          </cell>
          <cell r="B72">
            <v>3</v>
          </cell>
          <cell r="C72">
            <v>14</v>
          </cell>
          <cell r="D72">
            <v>40</v>
          </cell>
          <cell r="E72" t="str">
            <v>I</v>
          </cell>
          <cell r="F72">
            <v>1.0500000000000001E-2</v>
          </cell>
        </row>
        <row r="73">
          <cell r="A73" t="str">
            <v>3.1.40.N</v>
          </cell>
          <cell r="B73">
            <v>3</v>
          </cell>
          <cell r="C73">
            <v>1</v>
          </cell>
          <cell r="D73">
            <v>40</v>
          </cell>
          <cell r="E73" t="str">
            <v>N</v>
          </cell>
          <cell r="F73">
            <v>1.0500000000000001E-2</v>
          </cell>
        </row>
        <row r="74">
          <cell r="A74" t="str">
            <v>3.0E.40.N</v>
          </cell>
          <cell r="B74">
            <v>3</v>
          </cell>
          <cell r="C74" t="str">
            <v>0E</v>
          </cell>
          <cell r="D74">
            <v>40</v>
          </cell>
          <cell r="E74" t="str">
            <v>N</v>
          </cell>
          <cell r="F74">
            <v>1.0500000000000001E-2</v>
          </cell>
        </row>
        <row r="75">
          <cell r="A75" t="str">
            <v>3.14.40.N</v>
          </cell>
          <cell r="B75">
            <v>3</v>
          </cell>
          <cell r="C75">
            <v>14</v>
          </cell>
          <cell r="D75">
            <v>40</v>
          </cell>
          <cell r="E75" t="str">
            <v>N</v>
          </cell>
          <cell r="F75">
            <v>1.0500000000000001E-2</v>
          </cell>
        </row>
        <row r="76">
          <cell r="A76" t="str">
            <v>3.7P.40.N</v>
          </cell>
          <cell r="B76">
            <v>3</v>
          </cell>
          <cell r="C76" t="str">
            <v>7P</v>
          </cell>
          <cell r="D76">
            <v>40</v>
          </cell>
          <cell r="E76" t="str">
            <v>N</v>
          </cell>
          <cell r="F76">
            <v>1.0500000000000001E-2</v>
          </cell>
        </row>
        <row r="77">
          <cell r="A77" t="str">
            <v>3.7U.40.N</v>
          </cell>
          <cell r="B77">
            <v>3</v>
          </cell>
          <cell r="C77" t="str">
            <v>7U</v>
          </cell>
          <cell r="D77">
            <v>40</v>
          </cell>
          <cell r="E77" t="str">
            <v>N</v>
          </cell>
          <cell r="F77">
            <v>1.0500000000000001E-2</v>
          </cell>
        </row>
        <row r="78">
          <cell r="A78" t="str">
            <v>3.1.50.0</v>
          </cell>
          <cell r="B78">
            <v>3</v>
          </cell>
          <cell r="C78">
            <v>1</v>
          </cell>
          <cell r="D78">
            <v>50</v>
          </cell>
          <cell r="E78">
            <v>0</v>
          </cell>
          <cell r="F78">
            <v>1.0500000000000001E-2</v>
          </cell>
        </row>
        <row r="79">
          <cell r="A79" t="str">
            <v>3.1.50.A</v>
          </cell>
          <cell r="B79">
            <v>3</v>
          </cell>
          <cell r="C79">
            <v>1</v>
          </cell>
          <cell r="D79">
            <v>50</v>
          </cell>
          <cell r="E79" t="str">
            <v>A</v>
          </cell>
          <cell r="F79">
            <v>1.0500000000000001E-2</v>
          </cell>
        </row>
        <row r="80">
          <cell r="A80" t="str">
            <v>3.1.50.N</v>
          </cell>
          <cell r="B80">
            <v>3</v>
          </cell>
          <cell r="C80">
            <v>1</v>
          </cell>
          <cell r="D80">
            <v>50</v>
          </cell>
          <cell r="E80" t="str">
            <v>N</v>
          </cell>
          <cell r="F80">
            <v>1.0500000000000001E-2</v>
          </cell>
        </row>
        <row r="81">
          <cell r="A81" t="str">
            <v>3.1.81.0</v>
          </cell>
          <cell r="B81">
            <v>3</v>
          </cell>
          <cell r="C81">
            <v>1</v>
          </cell>
          <cell r="D81">
            <v>81</v>
          </cell>
          <cell r="E81">
            <v>0</v>
          </cell>
          <cell r="F81">
            <v>0</v>
          </cell>
        </row>
        <row r="82">
          <cell r="A82" t="str">
            <v>3.1.81.A</v>
          </cell>
          <cell r="B82">
            <v>3</v>
          </cell>
          <cell r="C82">
            <v>1</v>
          </cell>
          <cell r="D82">
            <v>81</v>
          </cell>
          <cell r="E82" t="str">
            <v>A</v>
          </cell>
          <cell r="F82">
            <v>0</v>
          </cell>
        </row>
        <row r="83">
          <cell r="A83" t="str">
            <v>3.1.82.0</v>
          </cell>
          <cell r="B83">
            <v>3</v>
          </cell>
          <cell r="C83">
            <v>1</v>
          </cell>
          <cell r="D83">
            <v>82</v>
          </cell>
          <cell r="E83">
            <v>0</v>
          </cell>
          <cell r="F83">
            <v>0</v>
          </cell>
        </row>
        <row r="84">
          <cell r="A84" t="str">
            <v>3.1.82.A</v>
          </cell>
          <cell r="B84">
            <v>3</v>
          </cell>
          <cell r="C84">
            <v>1</v>
          </cell>
          <cell r="D84">
            <v>82</v>
          </cell>
          <cell r="E84" t="str">
            <v>A</v>
          </cell>
          <cell r="F84">
            <v>0</v>
          </cell>
        </row>
        <row r="85">
          <cell r="A85" t="str">
            <v>3.1.84.0</v>
          </cell>
          <cell r="B85">
            <v>3</v>
          </cell>
          <cell r="C85">
            <v>1</v>
          </cell>
          <cell r="D85">
            <v>84</v>
          </cell>
          <cell r="E85">
            <v>0</v>
          </cell>
          <cell r="F85">
            <v>0</v>
          </cell>
        </row>
        <row r="86">
          <cell r="A86" t="str">
            <v>3.1.84.A</v>
          </cell>
          <cell r="B86">
            <v>3</v>
          </cell>
          <cell r="C86">
            <v>1</v>
          </cell>
          <cell r="D86">
            <v>84</v>
          </cell>
          <cell r="E86" t="str">
            <v>A</v>
          </cell>
          <cell r="F86">
            <v>0</v>
          </cell>
        </row>
        <row r="87">
          <cell r="A87" t="str">
            <v>3.1.85.0</v>
          </cell>
          <cell r="B87">
            <v>3</v>
          </cell>
          <cell r="C87">
            <v>1</v>
          </cell>
          <cell r="D87">
            <v>85</v>
          </cell>
          <cell r="E87">
            <v>0</v>
          </cell>
          <cell r="F87">
            <v>0</v>
          </cell>
        </row>
        <row r="88">
          <cell r="A88" t="str">
            <v>3.1.85.A</v>
          </cell>
          <cell r="B88">
            <v>3</v>
          </cell>
          <cell r="C88">
            <v>1</v>
          </cell>
          <cell r="D88">
            <v>85</v>
          </cell>
          <cell r="E88" t="str">
            <v>A</v>
          </cell>
          <cell r="F88">
            <v>0</v>
          </cell>
        </row>
        <row r="89">
          <cell r="A89" t="str">
            <v>3.1.98.0</v>
          </cell>
          <cell r="B89">
            <v>3</v>
          </cell>
          <cell r="C89">
            <v>1</v>
          </cell>
          <cell r="D89">
            <v>98</v>
          </cell>
          <cell r="E89">
            <v>0</v>
          </cell>
          <cell r="F89">
            <v>0</v>
          </cell>
        </row>
        <row r="90">
          <cell r="A90" t="str">
            <v>3.1.98.A</v>
          </cell>
          <cell r="B90">
            <v>3</v>
          </cell>
          <cell r="C90">
            <v>1</v>
          </cell>
          <cell r="D90">
            <v>98</v>
          </cell>
          <cell r="E90" t="str">
            <v>A</v>
          </cell>
          <cell r="F90">
            <v>0</v>
          </cell>
        </row>
        <row r="91">
          <cell r="A91" t="str">
            <v>4.1.10.0</v>
          </cell>
          <cell r="B91">
            <v>4</v>
          </cell>
          <cell r="C91">
            <v>1</v>
          </cell>
          <cell r="D91">
            <v>10</v>
          </cell>
          <cell r="E91">
            <v>0</v>
          </cell>
          <cell r="F91">
            <v>0.02</v>
          </cell>
        </row>
        <row r="92">
          <cell r="A92" t="str">
            <v>4.1.10.1</v>
          </cell>
          <cell r="B92">
            <v>4</v>
          </cell>
          <cell r="C92">
            <v>1</v>
          </cell>
          <cell r="D92">
            <v>10</v>
          </cell>
          <cell r="E92">
            <v>1</v>
          </cell>
          <cell r="F92">
            <v>0.02</v>
          </cell>
        </row>
        <row r="93">
          <cell r="A93" t="str">
            <v>4.1.10.2</v>
          </cell>
          <cell r="B93">
            <v>4</v>
          </cell>
          <cell r="C93">
            <v>1</v>
          </cell>
          <cell r="D93">
            <v>10</v>
          </cell>
          <cell r="E93">
            <v>2</v>
          </cell>
          <cell r="F93">
            <v>0.02</v>
          </cell>
        </row>
        <row r="94">
          <cell r="A94" t="str">
            <v>4.1.10.3</v>
          </cell>
          <cell r="B94">
            <v>4</v>
          </cell>
          <cell r="C94">
            <v>1</v>
          </cell>
          <cell r="D94">
            <v>10</v>
          </cell>
          <cell r="E94">
            <v>3</v>
          </cell>
          <cell r="F94">
            <v>0.02</v>
          </cell>
        </row>
        <row r="95">
          <cell r="A95" t="str">
            <v>4.73.10.3</v>
          </cell>
          <cell r="B95">
            <v>4</v>
          </cell>
          <cell r="C95">
            <v>73</v>
          </cell>
          <cell r="D95">
            <v>10</v>
          </cell>
          <cell r="E95">
            <v>3</v>
          </cell>
          <cell r="F95">
            <v>0.02</v>
          </cell>
        </row>
        <row r="96">
          <cell r="A96" t="str">
            <v>4.1.10.A</v>
          </cell>
          <cell r="B96">
            <v>4</v>
          </cell>
          <cell r="C96">
            <v>1</v>
          </cell>
          <cell r="D96">
            <v>10</v>
          </cell>
          <cell r="E96" t="str">
            <v>A</v>
          </cell>
          <cell r="F96">
            <v>0.02</v>
          </cell>
        </row>
        <row r="97">
          <cell r="A97" t="str">
            <v>4.73.10.B</v>
          </cell>
          <cell r="B97">
            <v>4</v>
          </cell>
          <cell r="C97">
            <v>73</v>
          </cell>
          <cell r="D97">
            <v>10</v>
          </cell>
          <cell r="E97" t="str">
            <v>B</v>
          </cell>
          <cell r="F97">
            <v>0.02</v>
          </cell>
        </row>
        <row r="98">
          <cell r="A98" t="str">
            <v>4.1.10.I</v>
          </cell>
          <cell r="B98">
            <v>4</v>
          </cell>
          <cell r="C98">
            <v>1</v>
          </cell>
          <cell r="D98">
            <v>10</v>
          </cell>
          <cell r="E98" t="str">
            <v>I</v>
          </cell>
          <cell r="F98">
            <v>0.02</v>
          </cell>
        </row>
        <row r="99">
          <cell r="A99" t="str">
            <v>4.1.10.N</v>
          </cell>
          <cell r="B99">
            <v>4</v>
          </cell>
          <cell r="C99">
            <v>1</v>
          </cell>
          <cell r="D99">
            <v>10</v>
          </cell>
          <cell r="E99" t="str">
            <v>N</v>
          </cell>
          <cell r="F99">
            <v>0.02</v>
          </cell>
        </row>
        <row r="100">
          <cell r="A100" t="str">
            <v>4.0B.10.N</v>
          </cell>
          <cell r="B100">
            <v>4</v>
          </cell>
          <cell r="C100" t="str">
            <v>0B</v>
          </cell>
          <cell r="D100">
            <v>10</v>
          </cell>
          <cell r="E100" t="str">
            <v>N</v>
          </cell>
          <cell r="F100">
            <v>0.02</v>
          </cell>
        </row>
        <row r="101">
          <cell r="A101" t="str">
            <v>4.0E.10.N</v>
          </cell>
          <cell r="B101">
            <v>4</v>
          </cell>
          <cell r="C101" t="str">
            <v>0E</v>
          </cell>
          <cell r="D101">
            <v>10</v>
          </cell>
          <cell r="E101" t="str">
            <v>N</v>
          </cell>
          <cell r="F101">
            <v>0.02</v>
          </cell>
        </row>
        <row r="102">
          <cell r="A102" t="str">
            <v>4.7P.10.N</v>
          </cell>
          <cell r="B102">
            <v>4</v>
          </cell>
          <cell r="C102" t="str">
            <v>7P</v>
          </cell>
          <cell r="D102">
            <v>10</v>
          </cell>
          <cell r="E102" t="str">
            <v>N</v>
          </cell>
          <cell r="F102">
            <v>0.02</v>
          </cell>
        </row>
        <row r="103">
          <cell r="A103" t="str">
            <v>4.7U.10.N</v>
          </cell>
          <cell r="B103">
            <v>4</v>
          </cell>
          <cell r="C103" t="str">
            <v>7U</v>
          </cell>
          <cell r="D103">
            <v>10</v>
          </cell>
          <cell r="E103" t="str">
            <v>N</v>
          </cell>
          <cell r="F103">
            <v>0.02</v>
          </cell>
        </row>
        <row r="104">
          <cell r="A104" t="str">
            <v>4.1.20.0</v>
          </cell>
          <cell r="B104">
            <v>4</v>
          </cell>
          <cell r="C104">
            <v>1</v>
          </cell>
          <cell r="D104">
            <v>20</v>
          </cell>
          <cell r="E104">
            <v>0</v>
          </cell>
          <cell r="F104">
            <v>0.02</v>
          </cell>
        </row>
        <row r="105">
          <cell r="A105" t="str">
            <v>4.3.20.0</v>
          </cell>
          <cell r="B105">
            <v>4</v>
          </cell>
          <cell r="C105">
            <v>3</v>
          </cell>
          <cell r="D105">
            <v>20</v>
          </cell>
          <cell r="E105">
            <v>0</v>
          </cell>
          <cell r="F105">
            <v>0.02</v>
          </cell>
        </row>
        <row r="106">
          <cell r="A106" t="str">
            <v>4.18.20.0</v>
          </cell>
          <cell r="B106">
            <v>4</v>
          </cell>
          <cell r="C106">
            <v>18</v>
          </cell>
          <cell r="D106">
            <v>20</v>
          </cell>
          <cell r="E106">
            <v>0</v>
          </cell>
          <cell r="F106">
            <v>0.02</v>
          </cell>
        </row>
        <row r="107">
          <cell r="A107" t="str">
            <v>4.1.20.1</v>
          </cell>
          <cell r="B107">
            <v>4</v>
          </cell>
          <cell r="C107">
            <v>1</v>
          </cell>
          <cell r="D107">
            <v>20</v>
          </cell>
          <cell r="E107">
            <v>1</v>
          </cell>
          <cell r="F107">
            <v>0.02</v>
          </cell>
        </row>
        <row r="108">
          <cell r="A108" t="str">
            <v>4.1.20.2</v>
          </cell>
          <cell r="B108">
            <v>4</v>
          </cell>
          <cell r="C108">
            <v>1</v>
          </cell>
          <cell r="D108">
            <v>20</v>
          </cell>
          <cell r="E108">
            <v>2</v>
          </cell>
          <cell r="F108">
            <v>0.02</v>
          </cell>
        </row>
        <row r="109">
          <cell r="A109" t="str">
            <v>4.73.20.3</v>
          </cell>
          <cell r="B109">
            <v>4</v>
          </cell>
          <cell r="C109">
            <v>73</v>
          </cell>
          <cell r="D109">
            <v>20</v>
          </cell>
          <cell r="E109">
            <v>3</v>
          </cell>
          <cell r="F109">
            <v>0.02</v>
          </cell>
        </row>
        <row r="110">
          <cell r="A110" t="str">
            <v>4.1.20.A</v>
          </cell>
          <cell r="B110">
            <v>4</v>
          </cell>
          <cell r="C110">
            <v>1</v>
          </cell>
          <cell r="D110">
            <v>20</v>
          </cell>
          <cell r="E110" t="str">
            <v>A</v>
          </cell>
          <cell r="F110">
            <v>0.02</v>
          </cell>
        </row>
        <row r="111">
          <cell r="A111" t="str">
            <v>4.3.20.A</v>
          </cell>
          <cell r="B111">
            <v>4</v>
          </cell>
          <cell r="C111">
            <v>3</v>
          </cell>
          <cell r="D111">
            <v>20</v>
          </cell>
          <cell r="E111" t="str">
            <v>A</v>
          </cell>
          <cell r="F111">
            <v>0.02</v>
          </cell>
        </row>
        <row r="112">
          <cell r="A112" t="str">
            <v>4.18.20.A</v>
          </cell>
          <cell r="B112">
            <v>4</v>
          </cell>
          <cell r="C112">
            <v>18</v>
          </cell>
          <cell r="D112">
            <v>20</v>
          </cell>
          <cell r="E112" t="str">
            <v>A</v>
          </cell>
          <cell r="F112">
            <v>0.02</v>
          </cell>
        </row>
        <row r="113">
          <cell r="A113" t="str">
            <v>4.73.20.B</v>
          </cell>
          <cell r="B113">
            <v>4</v>
          </cell>
          <cell r="C113">
            <v>73</v>
          </cell>
          <cell r="D113">
            <v>20</v>
          </cell>
          <cell r="E113" t="str">
            <v>B</v>
          </cell>
          <cell r="F113">
            <v>0.02</v>
          </cell>
        </row>
        <row r="114">
          <cell r="A114" t="str">
            <v>4.1.20.N</v>
          </cell>
          <cell r="B114">
            <v>4</v>
          </cell>
          <cell r="C114">
            <v>1</v>
          </cell>
          <cell r="D114">
            <v>20</v>
          </cell>
          <cell r="E114" t="str">
            <v>N</v>
          </cell>
          <cell r="F114">
            <v>0.02</v>
          </cell>
        </row>
        <row r="115">
          <cell r="A115" t="str">
            <v>4.0E.20.N</v>
          </cell>
          <cell r="B115">
            <v>4</v>
          </cell>
          <cell r="C115" t="str">
            <v>0E</v>
          </cell>
          <cell r="D115">
            <v>20</v>
          </cell>
          <cell r="E115" t="str">
            <v>N</v>
          </cell>
          <cell r="F115">
            <v>0.02</v>
          </cell>
        </row>
        <row r="116">
          <cell r="A116" t="str">
            <v>4.18.20.N</v>
          </cell>
          <cell r="B116">
            <v>4</v>
          </cell>
          <cell r="C116">
            <v>18</v>
          </cell>
          <cell r="D116">
            <v>20</v>
          </cell>
          <cell r="E116" t="str">
            <v>N</v>
          </cell>
          <cell r="F116">
            <v>0.02</v>
          </cell>
        </row>
        <row r="117">
          <cell r="A117" t="str">
            <v>4.7U.20.N</v>
          </cell>
          <cell r="B117">
            <v>4</v>
          </cell>
          <cell r="C117" t="str">
            <v>7U</v>
          </cell>
          <cell r="D117">
            <v>20</v>
          </cell>
          <cell r="E117" t="str">
            <v>N</v>
          </cell>
          <cell r="F117">
            <v>0.02</v>
          </cell>
        </row>
        <row r="118">
          <cell r="A118" t="str">
            <v>4.1.30.0</v>
          </cell>
          <cell r="B118">
            <v>4</v>
          </cell>
          <cell r="C118">
            <v>1</v>
          </cell>
          <cell r="D118">
            <v>30</v>
          </cell>
          <cell r="E118">
            <v>0</v>
          </cell>
          <cell r="F118">
            <v>0</v>
          </cell>
        </row>
        <row r="119">
          <cell r="A119" t="str">
            <v>4.1.30.A</v>
          </cell>
          <cell r="B119">
            <v>4</v>
          </cell>
          <cell r="C119">
            <v>1</v>
          </cell>
          <cell r="D119">
            <v>30</v>
          </cell>
          <cell r="E119" t="str">
            <v>A</v>
          </cell>
          <cell r="F119">
            <v>0</v>
          </cell>
        </row>
        <row r="120">
          <cell r="A120" t="str">
            <v>4.1.40.0</v>
          </cell>
          <cell r="B120">
            <v>4</v>
          </cell>
          <cell r="C120">
            <v>1</v>
          </cell>
          <cell r="D120">
            <v>40</v>
          </cell>
          <cell r="E120">
            <v>0</v>
          </cell>
          <cell r="F120">
            <v>0.02</v>
          </cell>
        </row>
        <row r="121">
          <cell r="A121" t="str">
            <v>4.15.40.0</v>
          </cell>
          <cell r="B121">
            <v>4</v>
          </cell>
          <cell r="C121">
            <v>15</v>
          </cell>
          <cell r="D121">
            <v>40</v>
          </cell>
          <cell r="E121">
            <v>0</v>
          </cell>
          <cell r="F121">
            <v>0.02</v>
          </cell>
        </row>
        <row r="122">
          <cell r="A122" t="str">
            <v>4.1.40.3</v>
          </cell>
          <cell r="B122">
            <v>4</v>
          </cell>
          <cell r="C122">
            <v>1</v>
          </cell>
          <cell r="D122">
            <v>40</v>
          </cell>
          <cell r="E122">
            <v>3</v>
          </cell>
          <cell r="F122">
            <v>0.02</v>
          </cell>
        </row>
        <row r="123">
          <cell r="A123" t="str">
            <v>4.71.40.3</v>
          </cell>
          <cell r="B123">
            <v>4</v>
          </cell>
          <cell r="C123">
            <v>71</v>
          </cell>
          <cell r="D123">
            <v>40</v>
          </cell>
          <cell r="E123">
            <v>3</v>
          </cell>
          <cell r="F123">
            <v>0.02</v>
          </cell>
        </row>
        <row r="124">
          <cell r="A124" t="str">
            <v>4.1.40.A</v>
          </cell>
          <cell r="B124">
            <v>4</v>
          </cell>
          <cell r="C124">
            <v>1</v>
          </cell>
          <cell r="D124">
            <v>40</v>
          </cell>
          <cell r="E124" t="str">
            <v>A</v>
          </cell>
          <cell r="F124">
            <v>0.02</v>
          </cell>
        </row>
        <row r="125">
          <cell r="A125" t="str">
            <v>4.15.40.A</v>
          </cell>
          <cell r="B125">
            <v>4</v>
          </cell>
          <cell r="C125">
            <v>15</v>
          </cell>
          <cell r="D125">
            <v>40</v>
          </cell>
          <cell r="E125" t="str">
            <v>A</v>
          </cell>
          <cell r="F125">
            <v>0.02</v>
          </cell>
        </row>
        <row r="126">
          <cell r="A126" t="str">
            <v>4.71.40.B</v>
          </cell>
          <cell r="B126">
            <v>4</v>
          </cell>
          <cell r="C126">
            <v>71</v>
          </cell>
          <cell r="D126">
            <v>40</v>
          </cell>
          <cell r="E126" t="str">
            <v>B</v>
          </cell>
          <cell r="F126">
            <v>0.02</v>
          </cell>
        </row>
        <row r="127">
          <cell r="A127" t="str">
            <v>4.14.40.I</v>
          </cell>
          <cell r="B127">
            <v>4</v>
          </cell>
          <cell r="C127">
            <v>14</v>
          </cell>
          <cell r="D127">
            <v>40</v>
          </cell>
          <cell r="E127" t="str">
            <v>I</v>
          </cell>
          <cell r="F127">
            <v>0.02</v>
          </cell>
        </row>
        <row r="128">
          <cell r="A128" t="str">
            <v>4.1.40.N</v>
          </cell>
          <cell r="B128">
            <v>4</v>
          </cell>
          <cell r="C128">
            <v>1</v>
          </cell>
          <cell r="D128">
            <v>40</v>
          </cell>
          <cell r="E128" t="str">
            <v>N</v>
          </cell>
          <cell r="F128">
            <v>0.02</v>
          </cell>
        </row>
        <row r="129">
          <cell r="A129" t="str">
            <v>4.0E.40.N</v>
          </cell>
          <cell r="B129">
            <v>4</v>
          </cell>
          <cell r="C129" t="str">
            <v>0E</v>
          </cell>
          <cell r="D129">
            <v>40</v>
          </cell>
          <cell r="E129" t="str">
            <v>N</v>
          </cell>
          <cell r="F129">
            <v>0.02</v>
          </cell>
        </row>
        <row r="130">
          <cell r="A130" t="str">
            <v>4.7U.40.N</v>
          </cell>
          <cell r="B130">
            <v>4</v>
          </cell>
          <cell r="C130" t="str">
            <v>7U</v>
          </cell>
          <cell r="D130">
            <v>40</v>
          </cell>
          <cell r="E130" t="str">
            <v>N</v>
          </cell>
          <cell r="F130">
            <v>0.02</v>
          </cell>
        </row>
        <row r="131">
          <cell r="A131" t="str">
            <v>4.1.50.0</v>
          </cell>
          <cell r="B131">
            <v>4</v>
          </cell>
          <cell r="C131">
            <v>1</v>
          </cell>
          <cell r="D131">
            <v>50</v>
          </cell>
          <cell r="E131">
            <v>0</v>
          </cell>
          <cell r="F131">
            <v>0.02</v>
          </cell>
        </row>
        <row r="132">
          <cell r="A132" t="str">
            <v>4.1.50.A</v>
          </cell>
          <cell r="B132">
            <v>4</v>
          </cell>
          <cell r="C132">
            <v>1</v>
          </cell>
          <cell r="D132">
            <v>50</v>
          </cell>
          <cell r="E132" t="str">
            <v>A</v>
          </cell>
          <cell r="F132">
            <v>0.02</v>
          </cell>
        </row>
        <row r="133">
          <cell r="A133" t="str">
            <v>4.1.50.N</v>
          </cell>
          <cell r="B133">
            <v>4</v>
          </cell>
          <cell r="C133">
            <v>1</v>
          </cell>
          <cell r="D133">
            <v>50</v>
          </cell>
          <cell r="E133" t="str">
            <v>N</v>
          </cell>
          <cell r="F133">
            <v>0.02</v>
          </cell>
        </row>
        <row r="134">
          <cell r="A134" t="str">
            <v>4.1.81.0</v>
          </cell>
          <cell r="B134">
            <v>4</v>
          </cell>
          <cell r="C134">
            <v>1</v>
          </cell>
          <cell r="D134">
            <v>81</v>
          </cell>
          <cell r="E134">
            <v>0</v>
          </cell>
          <cell r="F134">
            <v>0</v>
          </cell>
        </row>
        <row r="135">
          <cell r="A135" t="str">
            <v>4.1.81.A</v>
          </cell>
          <cell r="B135">
            <v>4</v>
          </cell>
          <cell r="C135">
            <v>1</v>
          </cell>
          <cell r="D135">
            <v>81</v>
          </cell>
          <cell r="E135" t="str">
            <v>A</v>
          </cell>
          <cell r="F135">
            <v>0</v>
          </cell>
        </row>
        <row r="136">
          <cell r="A136" t="str">
            <v>4.1.82.0</v>
          </cell>
          <cell r="B136">
            <v>4</v>
          </cell>
          <cell r="C136">
            <v>1</v>
          </cell>
          <cell r="D136">
            <v>82</v>
          </cell>
          <cell r="E136">
            <v>0</v>
          </cell>
          <cell r="F136">
            <v>0</v>
          </cell>
        </row>
        <row r="137">
          <cell r="A137" t="str">
            <v>4.1.82.A</v>
          </cell>
          <cell r="B137">
            <v>4</v>
          </cell>
          <cell r="C137">
            <v>1</v>
          </cell>
          <cell r="D137">
            <v>82</v>
          </cell>
          <cell r="E137" t="str">
            <v>A</v>
          </cell>
          <cell r="F137">
            <v>0</v>
          </cell>
        </row>
        <row r="138">
          <cell r="A138" t="str">
            <v>4.1.84.0</v>
          </cell>
          <cell r="B138">
            <v>4</v>
          </cell>
          <cell r="C138">
            <v>1</v>
          </cell>
          <cell r="D138">
            <v>84</v>
          </cell>
          <cell r="E138">
            <v>0</v>
          </cell>
          <cell r="F138">
            <v>0</v>
          </cell>
        </row>
        <row r="139">
          <cell r="A139" t="str">
            <v>4.1.84.A</v>
          </cell>
          <cell r="B139">
            <v>4</v>
          </cell>
          <cell r="C139">
            <v>1</v>
          </cell>
          <cell r="D139">
            <v>84</v>
          </cell>
          <cell r="E139" t="str">
            <v>A</v>
          </cell>
          <cell r="F139">
            <v>0</v>
          </cell>
        </row>
        <row r="140">
          <cell r="A140" t="str">
            <v>4.1.85.0</v>
          </cell>
          <cell r="B140">
            <v>4</v>
          </cell>
          <cell r="C140">
            <v>1</v>
          </cell>
          <cell r="D140">
            <v>85</v>
          </cell>
          <cell r="E140">
            <v>0</v>
          </cell>
          <cell r="F140">
            <v>0</v>
          </cell>
        </row>
        <row r="141">
          <cell r="A141" t="str">
            <v>4.1.85.A</v>
          </cell>
          <cell r="B141">
            <v>4</v>
          </cell>
          <cell r="C141">
            <v>1</v>
          </cell>
          <cell r="D141">
            <v>85</v>
          </cell>
          <cell r="E141" t="str">
            <v>A</v>
          </cell>
          <cell r="F141">
            <v>0</v>
          </cell>
        </row>
        <row r="142">
          <cell r="A142" t="str">
            <v>4.1.98.0</v>
          </cell>
          <cell r="B142">
            <v>4</v>
          </cell>
          <cell r="C142">
            <v>1</v>
          </cell>
          <cell r="D142">
            <v>98</v>
          </cell>
          <cell r="E142">
            <v>0</v>
          </cell>
          <cell r="F142">
            <v>0</v>
          </cell>
        </row>
        <row r="143">
          <cell r="A143" t="str">
            <v>4.1.98.A</v>
          </cell>
          <cell r="B143">
            <v>4</v>
          </cell>
          <cell r="C143">
            <v>1</v>
          </cell>
          <cell r="D143">
            <v>98</v>
          </cell>
          <cell r="E143" t="str">
            <v>A</v>
          </cell>
          <cell r="F143">
            <v>0</v>
          </cell>
        </row>
        <row r="144">
          <cell r="A144" t="str">
            <v>5.1.10.0</v>
          </cell>
          <cell r="B144">
            <v>5</v>
          </cell>
          <cell r="C144">
            <v>1</v>
          </cell>
          <cell r="D144">
            <v>10</v>
          </cell>
          <cell r="E144">
            <v>0</v>
          </cell>
          <cell r="F144">
            <v>1.0500000000000001E-2</v>
          </cell>
        </row>
        <row r="145">
          <cell r="A145" t="str">
            <v>5.1.10.A</v>
          </cell>
          <cell r="B145">
            <v>5</v>
          </cell>
          <cell r="C145">
            <v>1</v>
          </cell>
          <cell r="D145">
            <v>10</v>
          </cell>
          <cell r="E145" t="str">
            <v>A</v>
          </cell>
          <cell r="F145">
            <v>1.0500000000000001E-2</v>
          </cell>
        </row>
        <row r="146">
          <cell r="A146" t="str">
            <v>5.1.10.I</v>
          </cell>
          <cell r="B146">
            <v>5</v>
          </cell>
          <cell r="C146">
            <v>1</v>
          </cell>
          <cell r="D146">
            <v>10</v>
          </cell>
          <cell r="E146" t="str">
            <v>I</v>
          </cell>
          <cell r="F146">
            <v>1.0500000000000001E-2</v>
          </cell>
        </row>
        <row r="147">
          <cell r="A147" t="str">
            <v>5.1.10.N</v>
          </cell>
          <cell r="B147">
            <v>5</v>
          </cell>
          <cell r="C147">
            <v>1</v>
          </cell>
          <cell r="D147">
            <v>10</v>
          </cell>
          <cell r="E147" t="str">
            <v>N</v>
          </cell>
          <cell r="F147">
            <v>1.0500000000000001E-2</v>
          </cell>
        </row>
        <row r="148">
          <cell r="A148" t="str">
            <v>5.7U.10.N</v>
          </cell>
          <cell r="B148">
            <v>5</v>
          </cell>
          <cell r="C148" t="str">
            <v>7U</v>
          </cell>
          <cell r="D148">
            <v>10</v>
          </cell>
          <cell r="E148" t="str">
            <v>N</v>
          </cell>
          <cell r="F148">
            <v>1.0500000000000001E-2</v>
          </cell>
        </row>
        <row r="149">
          <cell r="A149" t="str">
            <v>5.1.20.0</v>
          </cell>
          <cell r="B149">
            <v>5</v>
          </cell>
          <cell r="C149">
            <v>1</v>
          </cell>
          <cell r="D149">
            <v>20</v>
          </cell>
          <cell r="E149">
            <v>0</v>
          </cell>
          <cell r="F149">
            <v>1.0500000000000001E-2</v>
          </cell>
        </row>
        <row r="150">
          <cell r="A150" t="str">
            <v>5.1.20.A</v>
          </cell>
          <cell r="B150">
            <v>5</v>
          </cell>
          <cell r="C150">
            <v>1</v>
          </cell>
          <cell r="D150">
            <v>20</v>
          </cell>
          <cell r="E150" t="str">
            <v>A</v>
          </cell>
          <cell r="F150">
            <v>1.0500000000000001E-2</v>
          </cell>
        </row>
        <row r="151">
          <cell r="A151" t="str">
            <v>5.1.20.N</v>
          </cell>
          <cell r="B151">
            <v>5</v>
          </cell>
          <cell r="C151">
            <v>1</v>
          </cell>
          <cell r="D151">
            <v>20</v>
          </cell>
          <cell r="E151" t="str">
            <v>N</v>
          </cell>
          <cell r="F151">
            <v>1.0500000000000001E-2</v>
          </cell>
        </row>
        <row r="152">
          <cell r="A152" t="str">
            <v>5.7U.20.N</v>
          </cell>
          <cell r="B152">
            <v>5</v>
          </cell>
          <cell r="C152" t="str">
            <v>7U</v>
          </cell>
          <cell r="D152">
            <v>20</v>
          </cell>
          <cell r="E152" t="str">
            <v>N</v>
          </cell>
          <cell r="F152">
            <v>1.0500000000000001E-2</v>
          </cell>
        </row>
        <row r="153">
          <cell r="A153" t="str">
            <v>5.1.40.0</v>
          </cell>
          <cell r="B153">
            <v>5</v>
          </cell>
          <cell r="C153">
            <v>1</v>
          </cell>
          <cell r="D153">
            <v>40</v>
          </cell>
          <cell r="E153">
            <v>0</v>
          </cell>
          <cell r="F153">
            <v>1.0500000000000001E-2</v>
          </cell>
        </row>
        <row r="154">
          <cell r="A154" t="str">
            <v>5.1.40.A</v>
          </cell>
          <cell r="B154">
            <v>5</v>
          </cell>
          <cell r="C154">
            <v>1</v>
          </cell>
          <cell r="D154">
            <v>40</v>
          </cell>
          <cell r="E154" t="str">
            <v>A</v>
          </cell>
          <cell r="F154">
            <v>1.0500000000000001E-2</v>
          </cell>
        </row>
        <row r="155">
          <cell r="A155" t="str">
            <v>5.1.81.0</v>
          </cell>
          <cell r="B155">
            <v>5</v>
          </cell>
          <cell r="C155">
            <v>1</v>
          </cell>
          <cell r="D155">
            <v>81</v>
          </cell>
          <cell r="E155">
            <v>0</v>
          </cell>
          <cell r="F155">
            <v>0</v>
          </cell>
        </row>
        <row r="156">
          <cell r="A156" t="str">
            <v>5.1.81.A</v>
          </cell>
          <cell r="B156">
            <v>5</v>
          </cell>
          <cell r="C156">
            <v>1</v>
          </cell>
          <cell r="D156">
            <v>81</v>
          </cell>
          <cell r="E156" t="str">
            <v>A</v>
          </cell>
          <cell r="F156">
            <v>0</v>
          </cell>
        </row>
        <row r="157">
          <cell r="A157" t="str">
            <v>5.1.82.0</v>
          </cell>
          <cell r="B157">
            <v>5</v>
          </cell>
          <cell r="C157">
            <v>1</v>
          </cell>
          <cell r="D157">
            <v>82</v>
          </cell>
          <cell r="E157">
            <v>0</v>
          </cell>
          <cell r="F157">
            <v>0</v>
          </cell>
        </row>
        <row r="158">
          <cell r="A158" t="str">
            <v>5.1.82.A</v>
          </cell>
          <cell r="B158">
            <v>5</v>
          </cell>
          <cell r="C158">
            <v>1</v>
          </cell>
          <cell r="D158">
            <v>82</v>
          </cell>
          <cell r="E158" t="str">
            <v>A</v>
          </cell>
          <cell r="F158">
            <v>0</v>
          </cell>
        </row>
        <row r="159">
          <cell r="A159" t="str">
            <v>5.1.84.0</v>
          </cell>
          <cell r="B159">
            <v>5</v>
          </cell>
          <cell r="C159">
            <v>1</v>
          </cell>
          <cell r="D159">
            <v>84</v>
          </cell>
          <cell r="E159">
            <v>0</v>
          </cell>
          <cell r="F159">
            <v>0</v>
          </cell>
        </row>
        <row r="160">
          <cell r="A160" t="str">
            <v>5.1.84.A</v>
          </cell>
          <cell r="B160">
            <v>5</v>
          </cell>
          <cell r="C160">
            <v>1</v>
          </cell>
          <cell r="D160">
            <v>84</v>
          </cell>
          <cell r="E160" t="str">
            <v>A</v>
          </cell>
          <cell r="F160">
            <v>0</v>
          </cell>
        </row>
        <row r="161">
          <cell r="A161" t="str">
            <v>5.1.85.0</v>
          </cell>
          <cell r="B161">
            <v>5</v>
          </cell>
          <cell r="C161">
            <v>1</v>
          </cell>
          <cell r="D161">
            <v>85</v>
          </cell>
          <cell r="E161">
            <v>0</v>
          </cell>
          <cell r="F161">
            <v>0</v>
          </cell>
        </row>
        <row r="162">
          <cell r="A162" t="str">
            <v>5.1.85.A</v>
          </cell>
          <cell r="B162">
            <v>5</v>
          </cell>
          <cell r="C162">
            <v>1</v>
          </cell>
          <cell r="D162">
            <v>85</v>
          </cell>
          <cell r="E162" t="str">
            <v>A</v>
          </cell>
          <cell r="F162">
            <v>0</v>
          </cell>
        </row>
        <row r="163">
          <cell r="A163" t="str">
            <v>5.1.98.0</v>
          </cell>
          <cell r="B163">
            <v>5</v>
          </cell>
          <cell r="C163">
            <v>1</v>
          </cell>
          <cell r="D163">
            <v>98</v>
          </cell>
          <cell r="E163">
            <v>0</v>
          </cell>
          <cell r="F163">
            <v>0</v>
          </cell>
        </row>
        <row r="164">
          <cell r="A164" t="str">
            <v>5.1.98.A</v>
          </cell>
          <cell r="B164">
            <v>5</v>
          </cell>
          <cell r="C164">
            <v>1</v>
          </cell>
          <cell r="D164">
            <v>98</v>
          </cell>
          <cell r="E164" t="str">
            <v>A</v>
          </cell>
          <cell r="F164">
            <v>0</v>
          </cell>
        </row>
        <row r="165">
          <cell r="A165" t="str">
            <v>6.1.0.0</v>
          </cell>
          <cell r="B165">
            <v>6</v>
          </cell>
          <cell r="C165">
            <v>1</v>
          </cell>
          <cell r="D165">
            <v>0</v>
          </cell>
          <cell r="E165">
            <v>0</v>
          </cell>
          <cell r="F165">
            <v>1.2500000000000001E-2</v>
          </cell>
        </row>
        <row r="166">
          <cell r="A166" t="str">
            <v>6.3.0.0</v>
          </cell>
          <cell r="B166">
            <v>6</v>
          </cell>
          <cell r="C166">
            <v>3</v>
          </cell>
          <cell r="D166">
            <v>0</v>
          </cell>
          <cell r="E166">
            <v>0</v>
          </cell>
          <cell r="F166">
            <v>1.2500000000000001E-2</v>
          </cell>
        </row>
        <row r="167">
          <cell r="A167" t="str">
            <v>6.15.0.0</v>
          </cell>
          <cell r="B167">
            <v>6</v>
          </cell>
          <cell r="C167">
            <v>15</v>
          </cell>
          <cell r="D167">
            <v>0</v>
          </cell>
          <cell r="E167">
            <v>0</v>
          </cell>
          <cell r="F167">
            <v>1.2500000000000001E-2</v>
          </cell>
        </row>
        <row r="168">
          <cell r="A168" t="str">
            <v>6.18.0.0</v>
          </cell>
          <cell r="B168">
            <v>6</v>
          </cell>
          <cell r="C168">
            <v>18</v>
          </cell>
          <cell r="D168">
            <v>0</v>
          </cell>
          <cell r="E168">
            <v>0</v>
          </cell>
          <cell r="F168">
            <v>1.2500000000000001E-2</v>
          </cell>
        </row>
        <row r="169">
          <cell r="A169" t="str">
            <v>6.1.0.1</v>
          </cell>
          <cell r="B169">
            <v>6</v>
          </cell>
          <cell r="C169">
            <v>1</v>
          </cell>
          <cell r="D169">
            <v>0</v>
          </cell>
          <cell r="E169">
            <v>1</v>
          </cell>
          <cell r="F169">
            <v>1.2500000000000001E-2</v>
          </cell>
        </row>
        <row r="170">
          <cell r="A170" t="str">
            <v>6.1.0.2</v>
          </cell>
          <cell r="B170">
            <v>6</v>
          </cell>
          <cell r="C170">
            <v>1</v>
          </cell>
          <cell r="D170">
            <v>0</v>
          </cell>
          <cell r="E170">
            <v>2</v>
          </cell>
          <cell r="F170">
            <v>1.2500000000000001E-2</v>
          </cell>
        </row>
        <row r="171">
          <cell r="A171" t="str">
            <v>6.1.0.A</v>
          </cell>
          <cell r="B171">
            <v>6</v>
          </cell>
          <cell r="C171">
            <v>1</v>
          </cell>
          <cell r="D171">
            <v>0</v>
          </cell>
          <cell r="E171" t="str">
            <v>A</v>
          </cell>
          <cell r="F171">
            <v>1.2500000000000001E-2</v>
          </cell>
        </row>
        <row r="172">
          <cell r="A172" t="str">
            <v>6.3.0.A</v>
          </cell>
          <cell r="B172">
            <v>6</v>
          </cell>
          <cell r="C172">
            <v>3</v>
          </cell>
          <cell r="D172">
            <v>0</v>
          </cell>
          <cell r="E172" t="str">
            <v>A</v>
          </cell>
          <cell r="F172">
            <v>1.2500000000000001E-2</v>
          </cell>
        </row>
        <row r="173">
          <cell r="A173" t="str">
            <v>6.15.0.A</v>
          </cell>
          <cell r="B173">
            <v>6</v>
          </cell>
          <cell r="C173">
            <v>15</v>
          </cell>
          <cell r="D173">
            <v>0</v>
          </cell>
          <cell r="E173" t="str">
            <v>A</v>
          </cell>
          <cell r="F173">
            <v>1.2500000000000001E-2</v>
          </cell>
        </row>
        <row r="174">
          <cell r="A174" t="str">
            <v>6.18.0.A</v>
          </cell>
          <cell r="B174">
            <v>6</v>
          </cell>
          <cell r="C174">
            <v>18</v>
          </cell>
          <cell r="D174">
            <v>0</v>
          </cell>
          <cell r="E174" t="str">
            <v>A</v>
          </cell>
          <cell r="F174">
            <v>1.2500000000000001E-2</v>
          </cell>
        </row>
        <row r="175">
          <cell r="A175" t="str">
            <v>6.1.0.I</v>
          </cell>
          <cell r="B175">
            <v>6</v>
          </cell>
          <cell r="C175">
            <v>1</v>
          </cell>
          <cell r="D175">
            <v>0</v>
          </cell>
          <cell r="E175" t="str">
            <v>I</v>
          </cell>
          <cell r="F175">
            <v>1.2500000000000001E-2</v>
          </cell>
        </row>
        <row r="176">
          <cell r="A176" t="str">
            <v>6.14.0.I</v>
          </cell>
          <cell r="B176">
            <v>6</v>
          </cell>
          <cell r="C176">
            <v>14</v>
          </cell>
          <cell r="D176">
            <v>0</v>
          </cell>
          <cell r="E176" t="str">
            <v>I</v>
          </cell>
          <cell r="F176">
            <v>1.2500000000000001E-2</v>
          </cell>
        </row>
        <row r="177">
          <cell r="A177" t="str">
            <v>6.1.0.N</v>
          </cell>
          <cell r="B177">
            <v>6</v>
          </cell>
          <cell r="C177">
            <v>1</v>
          </cell>
          <cell r="D177">
            <v>0</v>
          </cell>
          <cell r="E177" t="str">
            <v>N</v>
          </cell>
          <cell r="F177">
            <v>1.2500000000000001E-2</v>
          </cell>
        </row>
        <row r="178">
          <cell r="A178" t="str">
            <v>6.0B.0.N</v>
          </cell>
          <cell r="B178">
            <v>6</v>
          </cell>
          <cell r="C178" t="str">
            <v>0B</v>
          </cell>
          <cell r="D178">
            <v>0</v>
          </cell>
          <cell r="E178" t="str">
            <v>N</v>
          </cell>
          <cell r="F178">
            <v>1.2500000000000001E-2</v>
          </cell>
        </row>
        <row r="179">
          <cell r="A179" t="str">
            <v>6.0E.0.N</v>
          </cell>
          <cell r="B179">
            <v>6</v>
          </cell>
          <cell r="C179" t="str">
            <v>0E</v>
          </cell>
          <cell r="D179">
            <v>0</v>
          </cell>
          <cell r="E179" t="str">
            <v>N</v>
          </cell>
          <cell r="F179">
            <v>1.2500000000000001E-2</v>
          </cell>
        </row>
        <row r="180">
          <cell r="A180" t="str">
            <v>6.0M.0.N</v>
          </cell>
          <cell r="B180">
            <v>6</v>
          </cell>
          <cell r="C180" t="str">
            <v>0M</v>
          </cell>
          <cell r="D180">
            <v>0</v>
          </cell>
          <cell r="E180" t="str">
            <v>N</v>
          </cell>
          <cell r="F180">
            <v>1.2500000000000001E-2</v>
          </cell>
        </row>
        <row r="181">
          <cell r="A181" t="str">
            <v>6.18.0.N</v>
          </cell>
          <cell r="B181">
            <v>6</v>
          </cell>
          <cell r="C181">
            <v>18</v>
          </cell>
          <cell r="D181">
            <v>0</v>
          </cell>
          <cell r="E181" t="str">
            <v>N</v>
          </cell>
          <cell r="F181">
            <v>1.2500000000000001E-2</v>
          </cell>
        </row>
        <row r="182">
          <cell r="A182" t="str">
            <v>6.7P.0.N</v>
          </cell>
          <cell r="B182">
            <v>6</v>
          </cell>
          <cell r="C182" t="str">
            <v>7P</v>
          </cell>
          <cell r="D182">
            <v>0</v>
          </cell>
          <cell r="E182" t="str">
            <v>N</v>
          </cell>
          <cell r="F182">
            <v>1.2500000000000001E-2</v>
          </cell>
        </row>
        <row r="183">
          <cell r="A183" t="str">
            <v>6.7U.0.N</v>
          </cell>
          <cell r="B183">
            <v>6</v>
          </cell>
          <cell r="C183" t="str">
            <v>7U</v>
          </cell>
          <cell r="D183">
            <v>0</v>
          </cell>
          <cell r="E183" t="str">
            <v>N</v>
          </cell>
          <cell r="F183">
            <v>1.2500000000000001E-2</v>
          </cell>
        </row>
        <row r="184">
          <cell r="A184" t="str">
            <v>6.1.1.N</v>
          </cell>
          <cell r="B184">
            <v>6</v>
          </cell>
          <cell r="C184">
            <v>1</v>
          </cell>
          <cell r="D184">
            <v>1</v>
          </cell>
          <cell r="E184" t="str">
            <v>N</v>
          </cell>
          <cell r="F184">
            <v>1.2500000000000001E-2</v>
          </cell>
        </row>
        <row r="185">
          <cell r="A185" t="str">
            <v>6.1.98.0</v>
          </cell>
          <cell r="B185">
            <v>6</v>
          </cell>
          <cell r="C185">
            <v>1</v>
          </cell>
          <cell r="D185">
            <v>98</v>
          </cell>
          <cell r="E185">
            <v>0</v>
          </cell>
          <cell r="F185">
            <v>0</v>
          </cell>
        </row>
        <row r="186">
          <cell r="A186" t="str">
            <v>6.1.98.A</v>
          </cell>
          <cell r="B186">
            <v>6</v>
          </cell>
          <cell r="C186">
            <v>1</v>
          </cell>
          <cell r="D186">
            <v>98</v>
          </cell>
          <cell r="E186" t="str">
            <v>A</v>
          </cell>
          <cell r="F186">
            <v>0</v>
          </cell>
        </row>
        <row r="187">
          <cell r="A187" t="str">
            <v>8.1.10.0</v>
          </cell>
          <cell r="B187">
            <v>8</v>
          </cell>
          <cell r="C187">
            <v>1</v>
          </cell>
          <cell r="D187">
            <v>10</v>
          </cell>
          <cell r="E187">
            <v>0</v>
          </cell>
          <cell r="F187">
            <v>5.4899999999999997E-2</v>
          </cell>
        </row>
        <row r="188">
          <cell r="A188" t="str">
            <v>8.1.10.A</v>
          </cell>
          <cell r="B188">
            <v>8</v>
          </cell>
          <cell r="C188">
            <v>1</v>
          </cell>
          <cell r="D188">
            <v>10</v>
          </cell>
          <cell r="E188" t="str">
            <v>A</v>
          </cell>
          <cell r="F188">
            <v>5.4899999999999997E-2</v>
          </cell>
        </row>
        <row r="189">
          <cell r="A189" t="str">
            <v>8.1.10.I</v>
          </cell>
          <cell r="B189">
            <v>8</v>
          </cell>
          <cell r="C189">
            <v>1</v>
          </cell>
          <cell r="D189">
            <v>10</v>
          </cell>
          <cell r="E189" t="str">
            <v>I</v>
          </cell>
          <cell r="F189">
            <v>5.4899999999999997E-2</v>
          </cell>
        </row>
        <row r="190">
          <cell r="A190" t="str">
            <v>8.1.10.N</v>
          </cell>
          <cell r="B190">
            <v>8</v>
          </cell>
          <cell r="C190">
            <v>1</v>
          </cell>
          <cell r="D190">
            <v>10</v>
          </cell>
          <cell r="E190" t="str">
            <v>N</v>
          </cell>
          <cell r="F190">
            <v>5.4899999999999997E-2</v>
          </cell>
        </row>
        <row r="191">
          <cell r="A191" t="str">
            <v>8.7U.10.N</v>
          </cell>
          <cell r="B191">
            <v>8</v>
          </cell>
          <cell r="C191" t="str">
            <v>7U</v>
          </cell>
          <cell r="D191">
            <v>10</v>
          </cell>
          <cell r="E191" t="str">
            <v>N</v>
          </cell>
          <cell r="F191">
            <v>5.4899999999999997E-2</v>
          </cell>
        </row>
        <row r="192">
          <cell r="A192" t="str">
            <v>8.1.11.0</v>
          </cell>
          <cell r="B192">
            <v>8</v>
          </cell>
          <cell r="C192">
            <v>1</v>
          </cell>
          <cell r="D192">
            <v>11</v>
          </cell>
          <cell r="E192">
            <v>0</v>
          </cell>
          <cell r="F192">
            <v>3.7699999999999997E-2</v>
          </cell>
        </row>
        <row r="193">
          <cell r="A193" t="str">
            <v>8.1.11.A</v>
          </cell>
          <cell r="B193">
            <v>8</v>
          </cell>
          <cell r="C193">
            <v>1</v>
          </cell>
          <cell r="D193">
            <v>11</v>
          </cell>
          <cell r="E193" t="str">
            <v>A</v>
          </cell>
          <cell r="F193">
            <v>3.7699999999999997E-2</v>
          </cell>
        </row>
        <row r="194">
          <cell r="A194" t="str">
            <v>8.1.11.F</v>
          </cell>
          <cell r="B194">
            <v>8</v>
          </cell>
          <cell r="C194">
            <v>1</v>
          </cell>
          <cell r="D194">
            <v>11</v>
          </cell>
          <cell r="E194" t="str">
            <v>F</v>
          </cell>
          <cell r="F194">
            <v>3.7699999999999997E-2</v>
          </cell>
        </row>
        <row r="195">
          <cell r="A195" t="str">
            <v>8.1.11.I</v>
          </cell>
          <cell r="B195">
            <v>8</v>
          </cell>
          <cell r="C195">
            <v>1</v>
          </cell>
          <cell r="D195">
            <v>11</v>
          </cell>
          <cell r="E195" t="str">
            <v>I</v>
          </cell>
          <cell r="F195">
            <v>3.7699999999999997E-2</v>
          </cell>
        </row>
        <row r="196">
          <cell r="A196" t="str">
            <v>8.1.11.N</v>
          </cell>
          <cell r="B196">
            <v>8</v>
          </cell>
          <cell r="C196">
            <v>1</v>
          </cell>
          <cell r="D196">
            <v>11</v>
          </cell>
          <cell r="E196" t="str">
            <v>N</v>
          </cell>
          <cell r="F196">
            <v>3.7699999999999997E-2</v>
          </cell>
        </row>
        <row r="197">
          <cell r="A197" t="str">
            <v>8.1.12.N</v>
          </cell>
          <cell r="B197">
            <v>8</v>
          </cell>
          <cell r="C197">
            <v>1</v>
          </cell>
          <cell r="D197">
            <v>12</v>
          </cell>
          <cell r="E197" t="str">
            <v>N</v>
          </cell>
          <cell r="F197">
            <v>5.4899999999999997E-2</v>
          </cell>
        </row>
        <row r="198">
          <cell r="A198" t="str">
            <v>8.1.13.N</v>
          </cell>
          <cell r="B198">
            <v>8</v>
          </cell>
          <cell r="C198">
            <v>1</v>
          </cell>
          <cell r="D198">
            <v>13</v>
          </cell>
          <cell r="E198" t="str">
            <v>N</v>
          </cell>
          <cell r="F198">
            <v>5.4899999999999997E-2</v>
          </cell>
        </row>
        <row r="199">
          <cell r="A199" t="str">
            <v>8.1.20.0</v>
          </cell>
          <cell r="B199">
            <v>8</v>
          </cell>
          <cell r="C199">
            <v>1</v>
          </cell>
          <cell r="D199">
            <v>20</v>
          </cell>
          <cell r="E199">
            <v>0</v>
          </cell>
          <cell r="F199">
            <v>4.4699999999999997E-2</v>
          </cell>
        </row>
        <row r="200">
          <cell r="A200" t="str">
            <v>8.3.20.0</v>
          </cell>
          <cell r="B200">
            <v>8</v>
          </cell>
          <cell r="C200">
            <v>3</v>
          </cell>
          <cell r="D200">
            <v>20</v>
          </cell>
          <cell r="E200">
            <v>0</v>
          </cell>
          <cell r="F200">
            <v>4.4699999999999997E-2</v>
          </cell>
        </row>
        <row r="201">
          <cell r="A201" t="str">
            <v>8.18.20.0</v>
          </cell>
          <cell r="B201">
            <v>8</v>
          </cell>
          <cell r="C201">
            <v>18</v>
          </cell>
          <cell r="D201">
            <v>20</v>
          </cell>
          <cell r="E201">
            <v>0</v>
          </cell>
          <cell r="F201">
            <v>4.4699999999999997E-2</v>
          </cell>
        </row>
        <row r="202">
          <cell r="A202" t="str">
            <v>8.1.20.3</v>
          </cell>
          <cell r="B202">
            <v>8</v>
          </cell>
          <cell r="C202">
            <v>1</v>
          </cell>
          <cell r="D202">
            <v>20</v>
          </cell>
          <cell r="E202">
            <v>3</v>
          </cell>
          <cell r="F202">
            <v>4.4699999999999997E-2</v>
          </cell>
        </row>
        <row r="203">
          <cell r="A203" t="str">
            <v>8.1.20.A</v>
          </cell>
          <cell r="B203">
            <v>8</v>
          </cell>
          <cell r="C203">
            <v>1</v>
          </cell>
          <cell r="D203">
            <v>20</v>
          </cell>
          <cell r="E203" t="str">
            <v>A</v>
          </cell>
          <cell r="F203">
            <v>4.4699999999999997E-2</v>
          </cell>
        </row>
        <row r="204">
          <cell r="A204" t="str">
            <v>8.3.20.A</v>
          </cell>
          <cell r="B204">
            <v>8</v>
          </cell>
          <cell r="C204">
            <v>3</v>
          </cell>
          <cell r="D204">
            <v>20</v>
          </cell>
          <cell r="E204" t="str">
            <v>A</v>
          </cell>
          <cell r="F204">
            <v>4.4699999999999997E-2</v>
          </cell>
        </row>
        <row r="205">
          <cell r="A205" t="str">
            <v>8.18.20.A</v>
          </cell>
          <cell r="B205">
            <v>8</v>
          </cell>
          <cell r="C205">
            <v>18</v>
          </cell>
          <cell r="D205">
            <v>20</v>
          </cell>
          <cell r="E205" t="str">
            <v>A</v>
          </cell>
          <cell r="F205">
            <v>4.4699999999999997E-2</v>
          </cell>
        </row>
        <row r="206">
          <cell r="A206" t="str">
            <v>8.1.20.I</v>
          </cell>
          <cell r="B206">
            <v>8</v>
          </cell>
          <cell r="C206">
            <v>1</v>
          </cell>
          <cell r="D206">
            <v>20</v>
          </cell>
          <cell r="E206" t="str">
            <v>I</v>
          </cell>
          <cell r="F206">
            <v>4.4699999999999997E-2</v>
          </cell>
        </row>
        <row r="207">
          <cell r="A207" t="str">
            <v>8.1.20.N</v>
          </cell>
          <cell r="B207">
            <v>8</v>
          </cell>
          <cell r="C207">
            <v>1</v>
          </cell>
          <cell r="D207">
            <v>20</v>
          </cell>
          <cell r="E207" t="str">
            <v>N</v>
          </cell>
          <cell r="F207">
            <v>4.4699999999999997E-2</v>
          </cell>
        </row>
        <row r="208">
          <cell r="A208" t="str">
            <v>8.0E.20.N</v>
          </cell>
          <cell r="B208">
            <v>8</v>
          </cell>
          <cell r="C208" t="str">
            <v>0E</v>
          </cell>
          <cell r="D208">
            <v>20</v>
          </cell>
          <cell r="E208" t="str">
            <v>N</v>
          </cell>
          <cell r="F208">
            <v>4.4699999999999997E-2</v>
          </cell>
        </row>
        <row r="209">
          <cell r="A209" t="str">
            <v>8.0M.20.N</v>
          </cell>
          <cell r="B209">
            <v>8</v>
          </cell>
          <cell r="C209" t="str">
            <v>0M</v>
          </cell>
          <cell r="D209">
            <v>20</v>
          </cell>
          <cell r="E209" t="str">
            <v>N</v>
          </cell>
          <cell r="F209">
            <v>4.4699999999999997E-2</v>
          </cell>
        </row>
        <row r="210">
          <cell r="A210" t="str">
            <v>8.18.20.N</v>
          </cell>
          <cell r="B210">
            <v>8</v>
          </cell>
          <cell r="C210">
            <v>18</v>
          </cell>
          <cell r="D210">
            <v>20</v>
          </cell>
          <cell r="E210" t="str">
            <v>N</v>
          </cell>
          <cell r="F210">
            <v>4.4699999999999997E-2</v>
          </cell>
        </row>
        <row r="211">
          <cell r="A211" t="str">
            <v>8.7N.20.N</v>
          </cell>
          <cell r="B211">
            <v>8</v>
          </cell>
          <cell r="C211" t="str">
            <v>7N</v>
          </cell>
          <cell r="D211">
            <v>20</v>
          </cell>
          <cell r="E211" t="str">
            <v>N</v>
          </cell>
          <cell r="F211">
            <v>4.4699999999999997E-2</v>
          </cell>
        </row>
        <row r="212">
          <cell r="A212" t="str">
            <v>8.7P.20.N</v>
          </cell>
          <cell r="B212">
            <v>8</v>
          </cell>
          <cell r="C212" t="str">
            <v>7P</v>
          </cell>
          <cell r="D212">
            <v>20</v>
          </cell>
          <cell r="E212" t="str">
            <v>N</v>
          </cell>
          <cell r="F212">
            <v>4.4699999999999997E-2</v>
          </cell>
        </row>
        <row r="213">
          <cell r="A213" t="str">
            <v>8.7U.20.N</v>
          </cell>
          <cell r="B213">
            <v>8</v>
          </cell>
          <cell r="C213" t="str">
            <v>7U</v>
          </cell>
          <cell r="D213">
            <v>20</v>
          </cell>
          <cell r="E213" t="str">
            <v>N</v>
          </cell>
          <cell r="F213">
            <v>4.4699999999999997E-2</v>
          </cell>
        </row>
        <row r="214">
          <cell r="A214" t="str">
            <v>8.1.21.0</v>
          </cell>
          <cell r="B214">
            <v>8</v>
          </cell>
          <cell r="C214">
            <v>1</v>
          </cell>
          <cell r="D214">
            <v>21</v>
          </cell>
          <cell r="E214">
            <v>0</v>
          </cell>
          <cell r="F214">
            <v>3.78E-2</v>
          </cell>
        </row>
        <row r="215">
          <cell r="A215" t="str">
            <v>8.1.21.A</v>
          </cell>
          <cell r="B215">
            <v>8</v>
          </cell>
          <cell r="C215">
            <v>1</v>
          </cell>
          <cell r="D215">
            <v>21</v>
          </cell>
          <cell r="E215" t="str">
            <v>A</v>
          </cell>
          <cell r="F215">
            <v>3.78E-2</v>
          </cell>
        </row>
        <row r="216">
          <cell r="A216" t="str">
            <v>8.1.21.F</v>
          </cell>
          <cell r="B216">
            <v>8</v>
          </cell>
          <cell r="C216">
            <v>1</v>
          </cell>
          <cell r="D216">
            <v>21</v>
          </cell>
          <cell r="E216" t="str">
            <v>F</v>
          </cell>
          <cell r="F216">
            <v>3.78E-2</v>
          </cell>
        </row>
        <row r="217">
          <cell r="A217" t="str">
            <v>8.1.21.I</v>
          </cell>
          <cell r="B217">
            <v>8</v>
          </cell>
          <cell r="C217">
            <v>1</v>
          </cell>
          <cell r="D217">
            <v>21</v>
          </cell>
          <cell r="E217" t="str">
            <v>I</v>
          </cell>
          <cell r="F217">
            <v>3.78E-2</v>
          </cell>
        </row>
        <row r="218">
          <cell r="A218" t="str">
            <v>8.1.21.N</v>
          </cell>
          <cell r="B218">
            <v>8</v>
          </cell>
          <cell r="C218">
            <v>1</v>
          </cell>
          <cell r="D218">
            <v>21</v>
          </cell>
          <cell r="E218" t="str">
            <v>N</v>
          </cell>
          <cell r="F218">
            <v>3.78E-2</v>
          </cell>
        </row>
        <row r="219">
          <cell r="A219" t="str">
            <v>8.1.30.0</v>
          </cell>
          <cell r="B219">
            <v>8</v>
          </cell>
          <cell r="C219">
            <v>1</v>
          </cell>
          <cell r="D219">
            <v>30</v>
          </cell>
          <cell r="E219">
            <v>0</v>
          </cell>
          <cell r="F219">
            <v>0</v>
          </cell>
        </row>
        <row r="220">
          <cell r="A220" t="str">
            <v>8.1.30.A</v>
          </cell>
          <cell r="B220">
            <v>8</v>
          </cell>
          <cell r="C220">
            <v>1</v>
          </cell>
          <cell r="D220">
            <v>30</v>
          </cell>
          <cell r="E220" t="str">
            <v>A</v>
          </cell>
          <cell r="F220">
            <v>0</v>
          </cell>
        </row>
        <row r="221">
          <cell r="A221" t="str">
            <v>8.1.40.0</v>
          </cell>
          <cell r="B221">
            <v>8</v>
          </cell>
          <cell r="C221">
            <v>1</v>
          </cell>
          <cell r="D221">
            <v>40</v>
          </cell>
          <cell r="E221">
            <v>0</v>
          </cell>
          <cell r="F221">
            <v>3.8600000000000002E-2</v>
          </cell>
        </row>
        <row r="222">
          <cell r="A222" t="str">
            <v>8.3.40.0</v>
          </cell>
          <cell r="B222">
            <v>8</v>
          </cell>
          <cell r="C222">
            <v>3</v>
          </cell>
          <cell r="D222">
            <v>40</v>
          </cell>
          <cell r="E222">
            <v>0</v>
          </cell>
          <cell r="F222">
            <v>3.8600000000000002E-2</v>
          </cell>
        </row>
        <row r="223">
          <cell r="A223" t="str">
            <v>8.15.40.0</v>
          </cell>
          <cell r="B223">
            <v>8</v>
          </cell>
          <cell r="C223">
            <v>15</v>
          </cell>
          <cell r="D223">
            <v>40</v>
          </cell>
          <cell r="E223">
            <v>0</v>
          </cell>
          <cell r="F223">
            <v>3.8600000000000002E-2</v>
          </cell>
        </row>
        <row r="224">
          <cell r="A224" t="str">
            <v>8.1.40.3</v>
          </cell>
          <cell r="B224">
            <v>8</v>
          </cell>
          <cell r="C224">
            <v>1</v>
          </cell>
          <cell r="D224">
            <v>40</v>
          </cell>
          <cell r="E224">
            <v>3</v>
          </cell>
          <cell r="F224">
            <v>3.8600000000000002E-2</v>
          </cell>
        </row>
        <row r="225">
          <cell r="A225" t="str">
            <v>8.70.40.3</v>
          </cell>
          <cell r="B225">
            <v>8</v>
          </cell>
          <cell r="C225">
            <v>70</v>
          </cell>
          <cell r="D225">
            <v>40</v>
          </cell>
          <cell r="E225">
            <v>3</v>
          </cell>
          <cell r="F225">
            <v>3.8600000000000002E-2</v>
          </cell>
        </row>
        <row r="226">
          <cell r="A226" t="str">
            <v>8.71.40.3</v>
          </cell>
          <cell r="B226">
            <v>8</v>
          </cell>
          <cell r="C226">
            <v>71</v>
          </cell>
          <cell r="D226">
            <v>40</v>
          </cell>
          <cell r="E226">
            <v>3</v>
          </cell>
          <cell r="F226">
            <v>3.8600000000000002E-2</v>
          </cell>
        </row>
        <row r="227">
          <cell r="A227" t="str">
            <v>8.1.40.A</v>
          </cell>
          <cell r="B227">
            <v>8</v>
          </cell>
          <cell r="C227">
            <v>1</v>
          </cell>
          <cell r="D227">
            <v>40</v>
          </cell>
          <cell r="E227" t="str">
            <v>A</v>
          </cell>
          <cell r="F227">
            <v>3.8600000000000002E-2</v>
          </cell>
        </row>
        <row r="228">
          <cell r="A228" t="str">
            <v>8.3.40.A</v>
          </cell>
          <cell r="B228">
            <v>8</v>
          </cell>
          <cell r="C228">
            <v>3</v>
          </cell>
          <cell r="D228">
            <v>40</v>
          </cell>
          <cell r="E228" t="str">
            <v>A</v>
          </cell>
          <cell r="F228">
            <v>3.8600000000000002E-2</v>
          </cell>
        </row>
        <row r="229">
          <cell r="A229" t="str">
            <v>8.14.40.A</v>
          </cell>
          <cell r="B229">
            <v>8</v>
          </cell>
          <cell r="C229">
            <v>14</v>
          </cell>
          <cell r="D229">
            <v>40</v>
          </cell>
          <cell r="E229" t="str">
            <v>A</v>
          </cell>
          <cell r="F229">
            <v>3.8600000000000002E-2</v>
          </cell>
        </row>
        <row r="230">
          <cell r="A230" t="str">
            <v>8.15.40.A</v>
          </cell>
          <cell r="B230">
            <v>8</v>
          </cell>
          <cell r="C230">
            <v>15</v>
          </cell>
          <cell r="D230">
            <v>40</v>
          </cell>
          <cell r="E230" t="str">
            <v>A</v>
          </cell>
          <cell r="F230">
            <v>3.8600000000000002E-2</v>
          </cell>
        </row>
        <row r="231">
          <cell r="A231" t="str">
            <v>8.70.40.B</v>
          </cell>
          <cell r="B231">
            <v>8</v>
          </cell>
          <cell r="C231">
            <v>70</v>
          </cell>
          <cell r="D231">
            <v>40</v>
          </cell>
          <cell r="E231" t="str">
            <v>B</v>
          </cell>
          <cell r="F231">
            <v>3.8600000000000002E-2</v>
          </cell>
        </row>
        <row r="232">
          <cell r="A232" t="str">
            <v>8.71.40.B</v>
          </cell>
          <cell r="B232">
            <v>8</v>
          </cell>
          <cell r="C232">
            <v>71</v>
          </cell>
          <cell r="D232">
            <v>40</v>
          </cell>
          <cell r="E232" t="str">
            <v>B</v>
          </cell>
          <cell r="F232">
            <v>3.8600000000000002E-2</v>
          </cell>
        </row>
        <row r="233">
          <cell r="A233" t="str">
            <v>8.1.40.I</v>
          </cell>
          <cell r="B233">
            <v>8</v>
          </cell>
          <cell r="C233">
            <v>1</v>
          </cell>
          <cell r="D233">
            <v>40</v>
          </cell>
          <cell r="E233" t="str">
            <v>I</v>
          </cell>
          <cell r="F233">
            <v>3.8600000000000002E-2</v>
          </cell>
        </row>
        <row r="234">
          <cell r="A234" t="str">
            <v>8.14.40.I</v>
          </cell>
          <cell r="B234">
            <v>8</v>
          </cell>
          <cell r="C234">
            <v>14</v>
          </cell>
          <cell r="D234">
            <v>40</v>
          </cell>
          <cell r="E234" t="str">
            <v>I</v>
          </cell>
          <cell r="F234">
            <v>3.8600000000000002E-2</v>
          </cell>
        </row>
        <row r="235">
          <cell r="A235" t="str">
            <v>8.1.40.N</v>
          </cell>
          <cell r="B235">
            <v>8</v>
          </cell>
          <cell r="C235">
            <v>1</v>
          </cell>
          <cell r="D235">
            <v>40</v>
          </cell>
          <cell r="E235" t="str">
            <v>N</v>
          </cell>
          <cell r="F235">
            <v>3.8600000000000002E-2</v>
          </cell>
        </row>
        <row r="236">
          <cell r="A236" t="str">
            <v>8.0B.40.N</v>
          </cell>
          <cell r="B236">
            <v>8</v>
          </cell>
          <cell r="C236" t="str">
            <v>0B</v>
          </cell>
          <cell r="D236">
            <v>40</v>
          </cell>
          <cell r="E236" t="str">
            <v>N</v>
          </cell>
          <cell r="F236">
            <v>3.8600000000000002E-2</v>
          </cell>
        </row>
        <row r="237">
          <cell r="A237" t="str">
            <v>8.0E.40.N</v>
          </cell>
          <cell r="B237">
            <v>8</v>
          </cell>
          <cell r="C237" t="str">
            <v>0E</v>
          </cell>
          <cell r="D237">
            <v>40</v>
          </cell>
          <cell r="E237" t="str">
            <v>N</v>
          </cell>
          <cell r="F237">
            <v>3.8600000000000002E-2</v>
          </cell>
        </row>
        <row r="238">
          <cell r="A238" t="str">
            <v>8.14.40.N</v>
          </cell>
          <cell r="B238">
            <v>8</v>
          </cell>
          <cell r="C238">
            <v>14</v>
          </cell>
          <cell r="D238">
            <v>40</v>
          </cell>
          <cell r="E238" t="str">
            <v>N</v>
          </cell>
          <cell r="F238">
            <v>3.8600000000000002E-2</v>
          </cell>
        </row>
        <row r="239">
          <cell r="A239" t="str">
            <v>8.7U.40.N</v>
          </cell>
          <cell r="B239">
            <v>8</v>
          </cell>
          <cell r="C239" t="str">
            <v>7U</v>
          </cell>
          <cell r="D239">
            <v>40</v>
          </cell>
          <cell r="E239" t="str">
            <v>N</v>
          </cell>
          <cell r="F239">
            <v>3.8600000000000002E-2</v>
          </cell>
        </row>
        <row r="240">
          <cell r="A240" t="str">
            <v>8.1.41.0</v>
          </cell>
          <cell r="B240">
            <v>8</v>
          </cell>
          <cell r="C240">
            <v>1</v>
          </cell>
          <cell r="D240">
            <v>41</v>
          </cell>
          <cell r="E240">
            <v>0</v>
          </cell>
          <cell r="F240">
            <v>3.3300000000000003E-2</v>
          </cell>
        </row>
        <row r="241">
          <cell r="A241" t="str">
            <v>8.1.41.A</v>
          </cell>
          <cell r="B241">
            <v>8</v>
          </cell>
          <cell r="C241">
            <v>1</v>
          </cell>
          <cell r="D241">
            <v>41</v>
          </cell>
          <cell r="E241" t="str">
            <v>A</v>
          </cell>
          <cell r="F241">
            <v>3.3300000000000003E-2</v>
          </cell>
        </row>
        <row r="242">
          <cell r="A242" t="str">
            <v>8.1.41.F</v>
          </cell>
          <cell r="B242">
            <v>8</v>
          </cell>
          <cell r="C242">
            <v>1</v>
          </cell>
          <cell r="D242">
            <v>41</v>
          </cell>
          <cell r="E242" t="str">
            <v>F</v>
          </cell>
          <cell r="F242">
            <v>3.3300000000000003E-2</v>
          </cell>
        </row>
        <row r="243">
          <cell r="A243" t="str">
            <v>8.1.41.I</v>
          </cell>
          <cell r="B243">
            <v>8</v>
          </cell>
          <cell r="C243">
            <v>1</v>
          </cell>
          <cell r="D243">
            <v>41</v>
          </cell>
          <cell r="E243" t="str">
            <v>I</v>
          </cell>
          <cell r="F243">
            <v>3.3300000000000003E-2</v>
          </cell>
        </row>
        <row r="244">
          <cell r="A244" t="str">
            <v>8.1.41.M</v>
          </cell>
          <cell r="B244">
            <v>8</v>
          </cell>
          <cell r="C244">
            <v>1</v>
          </cell>
          <cell r="D244">
            <v>41</v>
          </cell>
          <cell r="E244" t="str">
            <v>M</v>
          </cell>
          <cell r="F244">
            <v>3.3300000000000003E-2</v>
          </cell>
        </row>
        <row r="245">
          <cell r="A245" t="str">
            <v>8.1.41.N</v>
          </cell>
          <cell r="B245">
            <v>8</v>
          </cell>
          <cell r="C245">
            <v>1</v>
          </cell>
          <cell r="D245">
            <v>41</v>
          </cell>
          <cell r="E245" t="str">
            <v>N</v>
          </cell>
          <cell r="F245">
            <v>3.3300000000000003E-2</v>
          </cell>
        </row>
        <row r="246">
          <cell r="A246" t="str">
            <v>8.1.50.0</v>
          </cell>
          <cell r="B246">
            <v>8</v>
          </cell>
          <cell r="C246">
            <v>1</v>
          </cell>
          <cell r="D246">
            <v>50</v>
          </cell>
          <cell r="E246">
            <v>0</v>
          </cell>
          <cell r="F246">
            <v>3.8600000000000002E-2</v>
          </cell>
        </row>
        <row r="247">
          <cell r="A247" t="str">
            <v>8.1.50.A</v>
          </cell>
          <cell r="B247">
            <v>8</v>
          </cell>
          <cell r="C247">
            <v>1</v>
          </cell>
          <cell r="D247">
            <v>50</v>
          </cell>
          <cell r="E247" t="str">
            <v>A</v>
          </cell>
          <cell r="F247">
            <v>3.8600000000000002E-2</v>
          </cell>
        </row>
        <row r="248">
          <cell r="A248" t="str">
            <v>8.1.50.N</v>
          </cell>
          <cell r="B248">
            <v>8</v>
          </cell>
          <cell r="C248">
            <v>1</v>
          </cell>
          <cell r="D248">
            <v>50</v>
          </cell>
          <cell r="E248" t="str">
            <v>N</v>
          </cell>
          <cell r="F248">
            <v>3.8600000000000002E-2</v>
          </cell>
        </row>
        <row r="249">
          <cell r="A249" t="str">
            <v>8.1.51.0</v>
          </cell>
          <cell r="B249">
            <v>8</v>
          </cell>
          <cell r="C249">
            <v>1</v>
          </cell>
          <cell r="D249">
            <v>51</v>
          </cell>
          <cell r="E249">
            <v>0</v>
          </cell>
          <cell r="F249">
            <v>3.3300000000000003E-2</v>
          </cell>
        </row>
        <row r="250">
          <cell r="A250" t="str">
            <v>8.1.51.A</v>
          </cell>
          <cell r="B250">
            <v>8</v>
          </cell>
          <cell r="C250">
            <v>1</v>
          </cell>
          <cell r="D250">
            <v>51</v>
          </cell>
          <cell r="E250" t="str">
            <v>A</v>
          </cell>
          <cell r="F250">
            <v>3.3300000000000003E-2</v>
          </cell>
        </row>
        <row r="251">
          <cell r="A251" t="str">
            <v>8.1.51.F</v>
          </cell>
          <cell r="B251">
            <v>8</v>
          </cell>
          <cell r="C251">
            <v>1</v>
          </cell>
          <cell r="D251">
            <v>51</v>
          </cell>
          <cell r="E251" t="str">
            <v>F</v>
          </cell>
          <cell r="F251">
            <v>3.3300000000000003E-2</v>
          </cell>
        </row>
        <row r="252">
          <cell r="A252" t="str">
            <v>8.1.51.N</v>
          </cell>
          <cell r="B252">
            <v>8</v>
          </cell>
          <cell r="C252">
            <v>1</v>
          </cell>
          <cell r="D252">
            <v>51</v>
          </cell>
          <cell r="E252" t="str">
            <v>N</v>
          </cell>
          <cell r="F252">
            <v>3.3300000000000003E-2</v>
          </cell>
        </row>
        <row r="253">
          <cell r="A253" t="str">
            <v>8.1.81.0</v>
          </cell>
          <cell r="B253">
            <v>8</v>
          </cell>
          <cell r="C253">
            <v>1</v>
          </cell>
          <cell r="D253">
            <v>81</v>
          </cell>
          <cell r="E253">
            <v>0</v>
          </cell>
          <cell r="F253">
            <v>0</v>
          </cell>
        </row>
        <row r="254">
          <cell r="A254" t="str">
            <v>8.1.81.A</v>
          </cell>
          <cell r="B254">
            <v>8</v>
          </cell>
          <cell r="C254">
            <v>1</v>
          </cell>
          <cell r="D254">
            <v>81</v>
          </cell>
          <cell r="E254" t="str">
            <v>A</v>
          </cell>
          <cell r="F254">
            <v>0</v>
          </cell>
        </row>
        <row r="255">
          <cell r="A255" t="str">
            <v>8.1.82.0</v>
          </cell>
          <cell r="B255">
            <v>8</v>
          </cell>
          <cell r="C255">
            <v>1</v>
          </cell>
          <cell r="D255">
            <v>82</v>
          </cell>
          <cell r="E255">
            <v>0</v>
          </cell>
          <cell r="F255">
            <v>0</v>
          </cell>
        </row>
        <row r="256">
          <cell r="A256" t="str">
            <v>8.1.82.A</v>
          </cell>
          <cell r="B256">
            <v>8</v>
          </cell>
          <cell r="C256">
            <v>1</v>
          </cell>
          <cell r="D256">
            <v>82</v>
          </cell>
          <cell r="E256" t="str">
            <v>A</v>
          </cell>
          <cell r="F256">
            <v>0</v>
          </cell>
        </row>
        <row r="257">
          <cell r="A257" t="str">
            <v>8.1.84.0</v>
          </cell>
          <cell r="B257">
            <v>8</v>
          </cell>
          <cell r="C257">
            <v>1</v>
          </cell>
          <cell r="D257">
            <v>84</v>
          </cell>
          <cell r="E257">
            <v>0</v>
          </cell>
          <cell r="F257">
            <v>0</v>
          </cell>
        </row>
        <row r="258">
          <cell r="A258" t="str">
            <v>8.1.84.A</v>
          </cell>
          <cell r="B258">
            <v>8</v>
          </cell>
          <cell r="C258">
            <v>1</v>
          </cell>
          <cell r="D258">
            <v>84</v>
          </cell>
          <cell r="E258" t="str">
            <v>A</v>
          </cell>
          <cell r="F258">
            <v>0</v>
          </cell>
        </row>
        <row r="259">
          <cell r="A259" t="str">
            <v>8.1.85.0</v>
          </cell>
          <cell r="B259">
            <v>8</v>
          </cell>
          <cell r="C259">
            <v>1</v>
          </cell>
          <cell r="D259">
            <v>85</v>
          </cell>
          <cell r="E259">
            <v>0</v>
          </cell>
          <cell r="F259">
            <v>0</v>
          </cell>
        </row>
        <row r="260">
          <cell r="A260" t="str">
            <v>8.1.85.A</v>
          </cell>
          <cell r="B260">
            <v>8</v>
          </cell>
          <cell r="C260">
            <v>1</v>
          </cell>
          <cell r="D260">
            <v>85</v>
          </cell>
          <cell r="E260" t="str">
            <v>A</v>
          </cell>
          <cell r="F260">
            <v>0</v>
          </cell>
        </row>
        <row r="261">
          <cell r="A261" t="str">
            <v>8.1.98.0</v>
          </cell>
          <cell r="B261">
            <v>8</v>
          </cell>
          <cell r="C261">
            <v>1</v>
          </cell>
          <cell r="D261">
            <v>98</v>
          </cell>
          <cell r="E261">
            <v>0</v>
          </cell>
          <cell r="F261">
            <v>0</v>
          </cell>
        </row>
        <row r="262">
          <cell r="A262" t="str">
            <v>8.1.98.A</v>
          </cell>
          <cell r="B262">
            <v>8</v>
          </cell>
          <cell r="C262">
            <v>1</v>
          </cell>
          <cell r="D262">
            <v>98</v>
          </cell>
          <cell r="E262" t="str">
            <v>A</v>
          </cell>
          <cell r="F262">
            <v>0</v>
          </cell>
        </row>
        <row r="263">
          <cell r="A263" t="str">
            <v>9.1.10.0</v>
          </cell>
          <cell r="B263">
            <v>9</v>
          </cell>
          <cell r="C263">
            <v>1</v>
          </cell>
          <cell r="D263">
            <v>10</v>
          </cell>
          <cell r="E263">
            <v>0</v>
          </cell>
          <cell r="F263">
            <v>3.3000000000000002E-2</v>
          </cell>
        </row>
        <row r="264">
          <cell r="A264" t="str">
            <v>9.1.10.A</v>
          </cell>
          <cell r="B264">
            <v>9</v>
          </cell>
          <cell r="C264">
            <v>1</v>
          </cell>
          <cell r="D264">
            <v>10</v>
          </cell>
          <cell r="E264" t="str">
            <v>A</v>
          </cell>
          <cell r="F264">
            <v>3.3000000000000002E-2</v>
          </cell>
        </row>
        <row r="265">
          <cell r="A265" t="str">
            <v>9.1.10.I</v>
          </cell>
          <cell r="B265">
            <v>9</v>
          </cell>
          <cell r="C265">
            <v>1</v>
          </cell>
          <cell r="D265">
            <v>10</v>
          </cell>
          <cell r="E265" t="str">
            <v>I</v>
          </cell>
          <cell r="F265">
            <v>3.3000000000000002E-2</v>
          </cell>
        </row>
        <row r="266">
          <cell r="A266" t="str">
            <v>9.1.10.N</v>
          </cell>
          <cell r="B266">
            <v>9</v>
          </cell>
          <cell r="C266">
            <v>1</v>
          </cell>
          <cell r="D266">
            <v>10</v>
          </cell>
          <cell r="E266" t="str">
            <v>N</v>
          </cell>
          <cell r="F266">
            <v>3.3000000000000002E-2</v>
          </cell>
        </row>
        <row r="267">
          <cell r="A267" t="str">
            <v>9.0B.10.N</v>
          </cell>
          <cell r="B267">
            <v>9</v>
          </cell>
          <cell r="C267" t="str">
            <v>0B</v>
          </cell>
          <cell r="D267">
            <v>10</v>
          </cell>
          <cell r="E267" t="str">
            <v>N</v>
          </cell>
          <cell r="F267">
            <v>3.3000000000000002E-2</v>
          </cell>
        </row>
        <row r="268">
          <cell r="A268" t="str">
            <v>9.0E.10.N</v>
          </cell>
          <cell r="B268">
            <v>9</v>
          </cell>
          <cell r="C268" t="str">
            <v>0E</v>
          </cell>
          <cell r="D268">
            <v>10</v>
          </cell>
          <cell r="E268" t="str">
            <v>N</v>
          </cell>
          <cell r="F268">
            <v>3.3000000000000002E-2</v>
          </cell>
        </row>
        <row r="269">
          <cell r="A269" t="str">
            <v>9.7U.10.N</v>
          </cell>
          <cell r="B269">
            <v>9</v>
          </cell>
          <cell r="C269" t="str">
            <v>7U</v>
          </cell>
          <cell r="D269">
            <v>10</v>
          </cell>
          <cell r="E269" t="str">
            <v>N</v>
          </cell>
          <cell r="F269">
            <v>3.3000000000000002E-2</v>
          </cell>
        </row>
        <row r="270">
          <cell r="A270" t="str">
            <v>9.1.11.N</v>
          </cell>
          <cell r="B270">
            <v>9</v>
          </cell>
          <cell r="C270">
            <v>1</v>
          </cell>
          <cell r="D270">
            <v>11</v>
          </cell>
          <cell r="E270" t="str">
            <v>N</v>
          </cell>
          <cell r="F270">
            <v>3.3000000000000002E-2</v>
          </cell>
        </row>
        <row r="271">
          <cell r="A271" t="str">
            <v>9.1.12.N</v>
          </cell>
          <cell r="B271">
            <v>9</v>
          </cell>
          <cell r="C271">
            <v>1</v>
          </cell>
          <cell r="D271">
            <v>12</v>
          </cell>
          <cell r="E271" t="str">
            <v>N</v>
          </cell>
          <cell r="F271">
            <v>3.3000000000000002E-2</v>
          </cell>
        </row>
        <row r="272">
          <cell r="A272" t="str">
            <v>9.1.13.N</v>
          </cell>
          <cell r="B272">
            <v>9</v>
          </cell>
          <cell r="C272">
            <v>1</v>
          </cell>
          <cell r="D272">
            <v>13</v>
          </cell>
          <cell r="E272" t="str">
            <v>N</v>
          </cell>
          <cell r="F272">
            <v>3.3000000000000002E-2</v>
          </cell>
        </row>
        <row r="273">
          <cell r="A273" t="str">
            <v>9.1.14.N</v>
          </cell>
          <cell r="B273">
            <v>9</v>
          </cell>
          <cell r="C273">
            <v>1</v>
          </cell>
          <cell r="D273">
            <v>14</v>
          </cell>
          <cell r="E273" t="str">
            <v>N</v>
          </cell>
          <cell r="F273">
            <v>3.3000000000000002E-2</v>
          </cell>
        </row>
        <row r="274">
          <cell r="A274" t="str">
            <v>9.1.15.N</v>
          </cell>
          <cell r="B274">
            <v>9</v>
          </cell>
          <cell r="C274">
            <v>1</v>
          </cell>
          <cell r="D274">
            <v>15</v>
          </cell>
          <cell r="E274" t="str">
            <v>N</v>
          </cell>
          <cell r="F274">
            <v>3.3000000000000002E-2</v>
          </cell>
        </row>
        <row r="275">
          <cell r="A275" t="str">
            <v>9.1.20.0</v>
          </cell>
          <cell r="B275">
            <v>9</v>
          </cell>
          <cell r="C275">
            <v>1</v>
          </cell>
          <cell r="D275">
            <v>20</v>
          </cell>
          <cell r="E275">
            <v>0</v>
          </cell>
          <cell r="F275">
            <v>2.6700000000000002E-2</v>
          </cell>
        </row>
        <row r="276">
          <cell r="A276" t="str">
            <v>9.3.20.0</v>
          </cell>
          <cell r="B276">
            <v>9</v>
          </cell>
          <cell r="C276">
            <v>3</v>
          </cell>
          <cell r="D276">
            <v>20</v>
          </cell>
          <cell r="E276">
            <v>0</v>
          </cell>
          <cell r="F276">
            <v>2.6700000000000002E-2</v>
          </cell>
        </row>
        <row r="277">
          <cell r="A277" t="str">
            <v>9.18.20.0</v>
          </cell>
          <cell r="B277">
            <v>9</v>
          </cell>
          <cell r="C277">
            <v>18</v>
          </cell>
          <cell r="D277">
            <v>20</v>
          </cell>
          <cell r="E277">
            <v>0</v>
          </cell>
          <cell r="F277">
            <v>2.6700000000000002E-2</v>
          </cell>
        </row>
        <row r="278">
          <cell r="A278" t="str">
            <v>9.1.20.3</v>
          </cell>
          <cell r="B278">
            <v>9</v>
          </cell>
          <cell r="C278">
            <v>1</v>
          </cell>
          <cell r="D278">
            <v>20</v>
          </cell>
          <cell r="E278">
            <v>3</v>
          </cell>
          <cell r="F278">
            <v>2.6700000000000002E-2</v>
          </cell>
        </row>
        <row r="279">
          <cell r="A279" t="str">
            <v>9.1.20.A</v>
          </cell>
          <cell r="B279">
            <v>9</v>
          </cell>
          <cell r="C279">
            <v>1</v>
          </cell>
          <cell r="D279">
            <v>20</v>
          </cell>
          <cell r="E279" t="str">
            <v>A</v>
          </cell>
          <cell r="F279">
            <v>2.6700000000000002E-2</v>
          </cell>
        </row>
        <row r="280">
          <cell r="A280" t="str">
            <v>9.3.20.A</v>
          </cell>
          <cell r="B280">
            <v>9</v>
          </cell>
          <cell r="C280">
            <v>3</v>
          </cell>
          <cell r="D280">
            <v>20</v>
          </cell>
          <cell r="E280" t="str">
            <v>A</v>
          </cell>
          <cell r="F280">
            <v>2.6700000000000002E-2</v>
          </cell>
        </row>
        <row r="281">
          <cell r="A281" t="str">
            <v>9.18.20.A</v>
          </cell>
          <cell r="B281">
            <v>9</v>
          </cell>
          <cell r="C281">
            <v>18</v>
          </cell>
          <cell r="D281">
            <v>20</v>
          </cell>
          <cell r="E281" t="str">
            <v>A</v>
          </cell>
          <cell r="F281">
            <v>2.6700000000000002E-2</v>
          </cell>
        </row>
        <row r="282">
          <cell r="A282" t="str">
            <v>9.1.20.I</v>
          </cell>
          <cell r="B282">
            <v>9</v>
          </cell>
          <cell r="C282">
            <v>1</v>
          </cell>
          <cell r="D282">
            <v>20</v>
          </cell>
          <cell r="E282" t="str">
            <v>I</v>
          </cell>
          <cell r="F282">
            <v>2.6700000000000002E-2</v>
          </cell>
        </row>
        <row r="283">
          <cell r="A283" t="str">
            <v>9.1.20.N</v>
          </cell>
          <cell r="B283">
            <v>9</v>
          </cell>
          <cell r="C283">
            <v>1</v>
          </cell>
          <cell r="D283">
            <v>20</v>
          </cell>
          <cell r="E283" t="str">
            <v>N</v>
          </cell>
          <cell r="F283">
            <v>2.6700000000000002E-2</v>
          </cell>
        </row>
        <row r="284">
          <cell r="A284" t="str">
            <v>9.0E.20.N</v>
          </cell>
          <cell r="B284">
            <v>9</v>
          </cell>
          <cell r="C284" t="str">
            <v>0E</v>
          </cell>
          <cell r="D284">
            <v>20</v>
          </cell>
          <cell r="E284" t="str">
            <v>N</v>
          </cell>
          <cell r="F284">
            <v>2.6700000000000002E-2</v>
          </cell>
        </row>
        <row r="285">
          <cell r="A285" t="str">
            <v>9.0M.20.N</v>
          </cell>
          <cell r="B285">
            <v>9</v>
          </cell>
          <cell r="C285" t="str">
            <v>0M</v>
          </cell>
          <cell r="D285">
            <v>20</v>
          </cell>
          <cell r="E285" t="str">
            <v>N</v>
          </cell>
          <cell r="F285">
            <v>2.6700000000000002E-2</v>
          </cell>
        </row>
        <row r="286">
          <cell r="A286" t="str">
            <v>9.18.20.N</v>
          </cell>
          <cell r="B286">
            <v>9</v>
          </cell>
          <cell r="C286">
            <v>18</v>
          </cell>
          <cell r="D286">
            <v>20</v>
          </cell>
          <cell r="E286" t="str">
            <v>N</v>
          </cell>
          <cell r="F286">
            <v>2.6700000000000002E-2</v>
          </cell>
        </row>
        <row r="287">
          <cell r="A287" t="str">
            <v>9.7N.20.N</v>
          </cell>
          <cell r="B287">
            <v>9</v>
          </cell>
          <cell r="C287" t="str">
            <v>7N</v>
          </cell>
          <cell r="D287">
            <v>20</v>
          </cell>
          <cell r="E287" t="str">
            <v>N</v>
          </cell>
          <cell r="F287">
            <v>2.6700000000000002E-2</v>
          </cell>
        </row>
        <row r="288">
          <cell r="A288" t="str">
            <v>9.7P.20.N</v>
          </cell>
          <cell r="B288">
            <v>9</v>
          </cell>
          <cell r="C288" t="str">
            <v>7P</v>
          </cell>
          <cell r="D288">
            <v>20</v>
          </cell>
          <cell r="E288" t="str">
            <v>N</v>
          </cell>
          <cell r="F288">
            <v>2.6700000000000002E-2</v>
          </cell>
        </row>
        <row r="289">
          <cell r="A289" t="str">
            <v>9.7U.20.N</v>
          </cell>
          <cell r="B289">
            <v>9</v>
          </cell>
          <cell r="C289" t="str">
            <v>7U</v>
          </cell>
          <cell r="D289">
            <v>20</v>
          </cell>
          <cell r="E289" t="str">
            <v>N</v>
          </cell>
          <cell r="F289">
            <v>2.6700000000000002E-2</v>
          </cell>
        </row>
        <row r="290">
          <cell r="A290" t="str">
            <v>9.1.21.N</v>
          </cell>
          <cell r="B290">
            <v>9</v>
          </cell>
          <cell r="C290">
            <v>1</v>
          </cell>
          <cell r="D290">
            <v>21</v>
          </cell>
          <cell r="E290" t="str">
            <v>N</v>
          </cell>
          <cell r="F290">
            <v>2.6700000000000002E-2</v>
          </cell>
        </row>
        <row r="291">
          <cell r="A291" t="str">
            <v>9.1.30.0</v>
          </cell>
          <cell r="B291">
            <v>9</v>
          </cell>
          <cell r="C291">
            <v>1</v>
          </cell>
          <cell r="D291">
            <v>30</v>
          </cell>
          <cell r="E291">
            <v>0</v>
          </cell>
          <cell r="F291">
            <v>0</v>
          </cell>
        </row>
        <row r="292">
          <cell r="A292" t="str">
            <v>9.1.30.A</v>
          </cell>
          <cell r="B292">
            <v>9</v>
          </cell>
          <cell r="C292">
            <v>1</v>
          </cell>
          <cell r="D292">
            <v>30</v>
          </cell>
          <cell r="E292" t="str">
            <v>A</v>
          </cell>
          <cell r="F292">
            <v>0</v>
          </cell>
        </row>
        <row r="293">
          <cell r="A293" t="str">
            <v>9.1.40.0</v>
          </cell>
          <cell r="B293">
            <v>9</v>
          </cell>
          <cell r="C293">
            <v>1</v>
          </cell>
          <cell r="D293">
            <v>40</v>
          </cell>
          <cell r="E293">
            <v>0</v>
          </cell>
          <cell r="F293">
            <v>2.1999999999999999E-2</v>
          </cell>
        </row>
        <row r="294">
          <cell r="A294" t="str">
            <v>9.3.40.0</v>
          </cell>
          <cell r="B294">
            <v>9</v>
          </cell>
          <cell r="C294">
            <v>3</v>
          </cell>
          <cell r="D294">
            <v>40</v>
          </cell>
          <cell r="E294">
            <v>0</v>
          </cell>
          <cell r="F294">
            <v>2.1999999999999999E-2</v>
          </cell>
        </row>
        <row r="295">
          <cell r="A295" t="str">
            <v>9.15.40.0</v>
          </cell>
          <cell r="B295">
            <v>9</v>
          </cell>
          <cell r="C295">
            <v>15</v>
          </cell>
          <cell r="D295">
            <v>40</v>
          </cell>
          <cell r="E295">
            <v>0</v>
          </cell>
          <cell r="F295">
            <v>2.1999999999999999E-2</v>
          </cell>
        </row>
        <row r="296">
          <cell r="A296" t="str">
            <v>9.1.40.3</v>
          </cell>
          <cell r="B296">
            <v>9</v>
          </cell>
          <cell r="C296">
            <v>1</v>
          </cell>
          <cell r="D296">
            <v>40</v>
          </cell>
          <cell r="E296">
            <v>3</v>
          </cell>
          <cell r="F296">
            <v>2.1999999999999999E-2</v>
          </cell>
        </row>
        <row r="297">
          <cell r="A297" t="str">
            <v>9.70.40.3</v>
          </cell>
          <cell r="B297">
            <v>9</v>
          </cell>
          <cell r="C297">
            <v>70</v>
          </cell>
          <cell r="D297">
            <v>40</v>
          </cell>
          <cell r="E297">
            <v>3</v>
          </cell>
          <cell r="F297">
            <v>2.1999999999999999E-2</v>
          </cell>
        </row>
        <row r="298">
          <cell r="A298" t="str">
            <v>9.71.40.3</v>
          </cell>
          <cell r="B298">
            <v>9</v>
          </cell>
          <cell r="C298">
            <v>71</v>
          </cell>
          <cell r="D298">
            <v>40</v>
          </cell>
          <cell r="E298">
            <v>3</v>
          </cell>
          <cell r="F298">
            <v>2.1999999999999999E-2</v>
          </cell>
        </row>
        <row r="299">
          <cell r="A299" t="str">
            <v>9.1.40.A</v>
          </cell>
          <cell r="B299">
            <v>9</v>
          </cell>
          <cell r="C299">
            <v>1</v>
          </cell>
          <cell r="D299">
            <v>40</v>
          </cell>
          <cell r="E299" t="str">
            <v>A</v>
          </cell>
          <cell r="F299">
            <v>2.1999999999999999E-2</v>
          </cell>
        </row>
        <row r="300">
          <cell r="A300" t="str">
            <v>9.3.40.A</v>
          </cell>
          <cell r="B300">
            <v>9</v>
          </cell>
          <cell r="C300">
            <v>3</v>
          </cell>
          <cell r="D300">
            <v>40</v>
          </cell>
          <cell r="E300" t="str">
            <v>A</v>
          </cell>
          <cell r="F300">
            <v>2.1999999999999999E-2</v>
          </cell>
        </row>
        <row r="301">
          <cell r="A301" t="str">
            <v>9.14.40.A</v>
          </cell>
          <cell r="B301">
            <v>9</v>
          </cell>
          <cell r="C301">
            <v>14</v>
          </cell>
          <cell r="D301">
            <v>40</v>
          </cell>
          <cell r="E301" t="str">
            <v>A</v>
          </cell>
          <cell r="F301">
            <v>2.1999999999999999E-2</v>
          </cell>
        </row>
        <row r="302">
          <cell r="A302" t="str">
            <v>9.15.40.A</v>
          </cell>
          <cell r="B302">
            <v>9</v>
          </cell>
          <cell r="C302">
            <v>15</v>
          </cell>
          <cell r="D302">
            <v>40</v>
          </cell>
          <cell r="E302" t="str">
            <v>A</v>
          </cell>
          <cell r="F302">
            <v>2.1999999999999999E-2</v>
          </cell>
        </row>
        <row r="303">
          <cell r="A303" t="str">
            <v>9.70.40.B</v>
          </cell>
          <cell r="B303">
            <v>9</v>
          </cell>
          <cell r="C303">
            <v>70</v>
          </cell>
          <cell r="D303">
            <v>40</v>
          </cell>
          <cell r="E303" t="str">
            <v>B</v>
          </cell>
          <cell r="F303">
            <v>2.1999999999999999E-2</v>
          </cell>
        </row>
        <row r="304">
          <cell r="A304" t="str">
            <v>9.71.40.B</v>
          </cell>
          <cell r="B304">
            <v>9</v>
          </cell>
          <cell r="C304">
            <v>71</v>
          </cell>
          <cell r="D304">
            <v>40</v>
          </cell>
          <cell r="E304" t="str">
            <v>B</v>
          </cell>
          <cell r="F304">
            <v>2.1999999999999999E-2</v>
          </cell>
        </row>
        <row r="305">
          <cell r="A305" t="str">
            <v>9.1.40.I</v>
          </cell>
          <cell r="B305">
            <v>9</v>
          </cell>
          <cell r="C305">
            <v>1</v>
          </cell>
          <cell r="D305">
            <v>40</v>
          </cell>
          <cell r="E305" t="str">
            <v>I</v>
          </cell>
          <cell r="F305">
            <v>2.1999999999999999E-2</v>
          </cell>
        </row>
        <row r="306">
          <cell r="A306" t="str">
            <v>9.14.40.I</v>
          </cell>
          <cell r="B306">
            <v>9</v>
          </cell>
          <cell r="C306">
            <v>14</v>
          </cell>
          <cell r="D306">
            <v>40</v>
          </cell>
          <cell r="E306" t="str">
            <v>I</v>
          </cell>
          <cell r="F306">
            <v>2.1999999999999999E-2</v>
          </cell>
        </row>
        <row r="307">
          <cell r="A307" t="str">
            <v>9.1.40.N</v>
          </cell>
          <cell r="B307">
            <v>9</v>
          </cell>
          <cell r="C307">
            <v>1</v>
          </cell>
          <cell r="D307">
            <v>40</v>
          </cell>
          <cell r="E307" t="str">
            <v>N</v>
          </cell>
          <cell r="F307">
            <v>2.1999999999999999E-2</v>
          </cell>
        </row>
        <row r="308">
          <cell r="A308" t="str">
            <v>9.0B.40.N</v>
          </cell>
          <cell r="B308">
            <v>9</v>
          </cell>
          <cell r="C308" t="str">
            <v>0B</v>
          </cell>
          <cell r="D308">
            <v>40</v>
          </cell>
          <cell r="E308" t="str">
            <v>N</v>
          </cell>
          <cell r="F308">
            <v>2.1999999999999999E-2</v>
          </cell>
        </row>
        <row r="309">
          <cell r="A309" t="str">
            <v>9.0E.40.N</v>
          </cell>
          <cell r="B309">
            <v>9</v>
          </cell>
          <cell r="C309" t="str">
            <v>0E</v>
          </cell>
          <cell r="D309">
            <v>40</v>
          </cell>
          <cell r="E309" t="str">
            <v>N</v>
          </cell>
          <cell r="F309">
            <v>2.1999999999999999E-2</v>
          </cell>
        </row>
        <row r="310">
          <cell r="A310" t="str">
            <v>9.14.40.N</v>
          </cell>
          <cell r="B310">
            <v>9</v>
          </cell>
          <cell r="C310">
            <v>14</v>
          </cell>
          <cell r="D310">
            <v>40</v>
          </cell>
          <cell r="E310" t="str">
            <v>N</v>
          </cell>
          <cell r="F310">
            <v>2.1999999999999999E-2</v>
          </cell>
        </row>
        <row r="311">
          <cell r="A311" t="str">
            <v>9.7U.40.N</v>
          </cell>
          <cell r="B311">
            <v>9</v>
          </cell>
          <cell r="C311" t="str">
            <v>7U</v>
          </cell>
          <cell r="D311">
            <v>40</v>
          </cell>
          <cell r="E311" t="str">
            <v>N</v>
          </cell>
          <cell r="F311">
            <v>2.1999999999999999E-2</v>
          </cell>
        </row>
        <row r="312">
          <cell r="A312" t="str">
            <v>9.1.50.0</v>
          </cell>
          <cell r="B312">
            <v>9</v>
          </cell>
          <cell r="C312">
            <v>1</v>
          </cell>
          <cell r="D312">
            <v>50</v>
          </cell>
          <cell r="E312">
            <v>0</v>
          </cell>
          <cell r="F312">
            <v>2.1999999999999999E-2</v>
          </cell>
        </row>
        <row r="313">
          <cell r="A313" t="str">
            <v>9.1.50.A</v>
          </cell>
          <cell r="B313">
            <v>9</v>
          </cell>
          <cell r="C313">
            <v>1</v>
          </cell>
          <cell r="D313">
            <v>50</v>
          </cell>
          <cell r="E313" t="str">
            <v>A</v>
          </cell>
          <cell r="F313">
            <v>2.1999999999999999E-2</v>
          </cell>
        </row>
        <row r="314">
          <cell r="A314" t="str">
            <v>9.1.50.N</v>
          </cell>
          <cell r="B314">
            <v>9</v>
          </cell>
          <cell r="C314">
            <v>1</v>
          </cell>
          <cell r="D314">
            <v>50</v>
          </cell>
          <cell r="E314" t="str">
            <v>N</v>
          </cell>
          <cell r="F314">
            <v>2.1999999999999999E-2</v>
          </cell>
        </row>
        <row r="315">
          <cell r="A315" t="str">
            <v>9.1.81.0</v>
          </cell>
          <cell r="B315">
            <v>9</v>
          </cell>
          <cell r="C315">
            <v>1</v>
          </cell>
          <cell r="D315">
            <v>81</v>
          </cell>
          <cell r="E315">
            <v>0</v>
          </cell>
          <cell r="F315">
            <v>0</v>
          </cell>
        </row>
        <row r="316">
          <cell r="A316" t="str">
            <v>9.1.81.A</v>
          </cell>
          <cell r="B316">
            <v>9</v>
          </cell>
          <cell r="C316">
            <v>1</v>
          </cell>
          <cell r="D316">
            <v>81</v>
          </cell>
          <cell r="E316" t="str">
            <v>A</v>
          </cell>
          <cell r="F316">
            <v>0</v>
          </cell>
        </row>
        <row r="317">
          <cell r="A317" t="str">
            <v>9.1.82.0</v>
          </cell>
          <cell r="B317">
            <v>9</v>
          </cell>
          <cell r="C317">
            <v>1</v>
          </cell>
          <cell r="D317">
            <v>82</v>
          </cell>
          <cell r="E317">
            <v>0</v>
          </cell>
          <cell r="F317">
            <v>0</v>
          </cell>
        </row>
        <row r="318">
          <cell r="A318" t="str">
            <v>9.1.82.A</v>
          </cell>
          <cell r="B318">
            <v>9</v>
          </cell>
          <cell r="C318">
            <v>1</v>
          </cell>
          <cell r="D318">
            <v>82</v>
          </cell>
          <cell r="E318" t="str">
            <v>A</v>
          </cell>
          <cell r="F318">
            <v>0</v>
          </cell>
        </row>
        <row r="319">
          <cell r="A319" t="str">
            <v>9.1.84.0</v>
          </cell>
          <cell r="B319">
            <v>9</v>
          </cell>
          <cell r="C319">
            <v>1</v>
          </cell>
          <cell r="D319">
            <v>84</v>
          </cell>
          <cell r="E319">
            <v>0</v>
          </cell>
          <cell r="F319">
            <v>0</v>
          </cell>
        </row>
        <row r="320">
          <cell r="A320" t="str">
            <v>9.1.84.A</v>
          </cell>
          <cell r="B320">
            <v>9</v>
          </cell>
          <cell r="C320">
            <v>1</v>
          </cell>
          <cell r="D320">
            <v>84</v>
          </cell>
          <cell r="E320" t="str">
            <v>A</v>
          </cell>
          <cell r="F320">
            <v>0</v>
          </cell>
        </row>
        <row r="321">
          <cell r="A321" t="str">
            <v>9.1.85.0</v>
          </cell>
          <cell r="B321">
            <v>9</v>
          </cell>
          <cell r="C321">
            <v>1</v>
          </cell>
          <cell r="D321">
            <v>85</v>
          </cell>
          <cell r="E321">
            <v>0</v>
          </cell>
          <cell r="F321">
            <v>0</v>
          </cell>
        </row>
        <row r="322">
          <cell r="A322" t="str">
            <v>9.1.85.A</v>
          </cell>
          <cell r="B322">
            <v>9</v>
          </cell>
          <cell r="C322">
            <v>1</v>
          </cell>
          <cell r="D322">
            <v>85</v>
          </cell>
          <cell r="E322" t="str">
            <v>A</v>
          </cell>
          <cell r="F322">
            <v>0</v>
          </cell>
        </row>
        <row r="323">
          <cell r="A323" t="str">
            <v>9.1.98.0</v>
          </cell>
          <cell r="B323">
            <v>9</v>
          </cell>
          <cell r="C323">
            <v>1</v>
          </cell>
          <cell r="D323">
            <v>98</v>
          </cell>
          <cell r="E323">
            <v>0</v>
          </cell>
          <cell r="F323">
            <v>0</v>
          </cell>
        </row>
        <row r="324">
          <cell r="A324" t="str">
            <v>9.1.98.A</v>
          </cell>
          <cell r="B324">
            <v>9</v>
          </cell>
          <cell r="C324">
            <v>1</v>
          </cell>
          <cell r="D324">
            <v>98</v>
          </cell>
          <cell r="E324" t="str">
            <v>A</v>
          </cell>
          <cell r="F324">
            <v>0</v>
          </cell>
        </row>
        <row r="325">
          <cell r="A325" t="str">
            <v>11.1.10.0</v>
          </cell>
          <cell r="B325">
            <v>11</v>
          </cell>
          <cell r="C325">
            <v>1</v>
          </cell>
          <cell r="D325">
            <v>10</v>
          </cell>
          <cell r="E325">
            <v>0</v>
          </cell>
          <cell r="F325">
            <v>0.04</v>
          </cell>
        </row>
        <row r="326">
          <cell r="A326" t="str">
            <v>11.1.10.A</v>
          </cell>
          <cell r="B326">
            <v>11</v>
          </cell>
          <cell r="C326">
            <v>1</v>
          </cell>
          <cell r="D326">
            <v>10</v>
          </cell>
          <cell r="E326" t="str">
            <v>A</v>
          </cell>
          <cell r="F326">
            <v>0.04</v>
          </cell>
        </row>
        <row r="327">
          <cell r="A327" t="str">
            <v>11.1.10.I</v>
          </cell>
          <cell r="B327">
            <v>11</v>
          </cell>
          <cell r="C327">
            <v>1</v>
          </cell>
          <cell r="D327">
            <v>10</v>
          </cell>
          <cell r="E327" t="str">
            <v>I</v>
          </cell>
          <cell r="F327">
            <v>0.04</v>
          </cell>
        </row>
        <row r="328">
          <cell r="A328" t="str">
            <v>11.1.10.N</v>
          </cell>
          <cell r="B328">
            <v>11</v>
          </cell>
          <cell r="C328">
            <v>1</v>
          </cell>
          <cell r="D328">
            <v>10</v>
          </cell>
          <cell r="E328" t="str">
            <v>N</v>
          </cell>
          <cell r="F328">
            <v>0.04</v>
          </cell>
        </row>
        <row r="329">
          <cell r="A329" t="str">
            <v>11.7U.10.N</v>
          </cell>
          <cell r="B329">
            <v>11</v>
          </cell>
          <cell r="C329" t="str">
            <v>7U</v>
          </cell>
          <cell r="D329">
            <v>10</v>
          </cell>
          <cell r="E329" t="str">
            <v>N</v>
          </cell>
          <cell r="F329">
            <v>0.04</v>
          </cell>
        </row>
        <row r="330">
          <cell r="A330" t="str">
            <v>11.1.11.N</v>
          </cell>
          <cell r="B330">
            <v>11</v>
          </cell>
          <cell r="C330">
            <v>1</v>
          </cell>
          <cell r="D330">
            <v>11</v>
          </cell>
          <cell r="E330" t="str">
            <v>N</v>
          </cell>
          <cell r="F330">
            <v>0.04</v>
          </cell>
        </row>
        <row r="331">
          <cell r="A331" t="str">
            <v>11.1.20.0</v>
          </cell>
          <cell r="B331">
            <v>11</v>
          </cell>
          <cell r="C331">
            <v>1</v>
          </cell>
          <cell r="D331">
            <v>20</v>
          </cell>
          <cell r="E331">
            <v>0</v>
          </cell>
          <cell r="F331">
            <v>3.5700000000000003E-2</v>
          </cell>
        </row>
        <row r="332">
          <cell r="A332" t="str">
            <v>11.3.20.0</v>
          </cell>
          <cell r="B332">
            <v>11</v>
          </cell>
          <cell r="C332">
            <v>3</v>
          </cell>
          <cell r="D332">
            <v>20</v>
          </cell>
          <cell r="E332">
            <v>0</v>
          </cell>
          <cell r="F332">
            <v>3.5700000000000003E-2</v>
          </cell>
        </row>
        <row r="333">
          <cell r="A333" t="str">
            <v>11.18.20.0</v>
          </cell>
          <cell r="B333">
            <v>11</v>
          </cell>
          <cell r="C333">
            <v>18</v>
          </cell>
          <cell r="D333">
            <v>20</v>
          </cell>
          <cell r="E333">
            <v>0</v>
          </cell>
          <cell r="F333">
            <v>3.5700000000000003E-2</v>
          </cell>
        </row>
        <row r="334">
          <cell r="A334" t="str">
            <v>11.1.20.3</v>
          </cell>
          <cell r="B334">
            <v>11</v>
          </cell>
          <cell r="C334">
            <v>1</v>
          </cell>
          <cell r="D334">
            <v>20</v>
          </cell>
          <cell r="E334">
            <v>3</v>
          </cell>
          <cell r="F334">
            <v>3.5700000000000003E-2</v>
          </cell>
        </row>
        <row r="335">
          <cell r="A335" t="str">
            <v>11.1.20.A</v>
          </cell>
          <cell r="B335">
            <v>11</v>
          </cell>
          <cell r="C335">
            <v>1</v>
          </cell>
          <cell r="D335">
            <v>20</v>
          </cell>
          <cell r="E335" t="str">
            <v>A</v>
          </cell>
          <cell r="F335">
            <v>3.5700000000000003E-2</v>
          </cell>
        </row>
        <row r="336">
          <cell r="A336" t="str">
            <v>11.3.20.A</v>
          </cell>
          <cell r="B336">
            <v>11</v>
          </cell>
          <cell r="C336">
            <v>3</v>
          </cell>
          <cell r="D336">
            <v>20</v>
          </cell>
          <cell r="E336" t="str">
            <v>A</v>
          </cell>
          <cell r="F336">
            <v>3.5700000000000003E-2</v>
          </cell>
        </row>
        <row r="337">
          <cell r="A337" t="str">
            <v>11.18.20.A</v>
          </cell>
          <cell r="B337">
            <v>11</v>
          </cell>
          <cell r="C337">
            <v>18</v>
          </cell>
          <cell r="D337">
            <v>20</v>
          </cell>
          <cell r="E337" t="str">
            <v>A</v>
          </cell>
          <cell r="F337">
            <v>3.5700000000000003E-2</v>
          </cell>
        </row>
        <row r="338">
          <cell r="A338" t="str">
            <v>11.1.20.I</v>
          </cell>
          <cell r="B338">
            <v>11</v>
          </cell>
          <cell r="C338">
            <v>1</v>
          </cell>
          <cell r="D338">
            <v>20</v>
          </cell>
          <cell r="E338" t="str">
            <v>I</v>
          </cell>
          <cell r="F338">
            <v>3.5700000000000003E-2</v>
          </cell>
        </row>
        <row r="339">
          <cell r="A339" t="str">
            <v>11.1.20.N</v>
          </cell>
          <cell r="B339">
            <v>11</v>
          </cell>
          <cell r="C339">
            <v>1</v>
          </cell>
          <cell r="D339">
            <v>20</v>
          </cell>
          <cell r="E339" t="str">
            <v>N</v>
          </cell>
          <cell r="F339">
            <v>3.5700000000000003E-2</v>
          </cell>
        </row>
        <row r="340">
          <cell r="A340" t="str">
            <v>11.0E.20.N</v>
          </cell>
          <cell r="B340">
            <v>11</v>
          </cell>
          <cell r="C340" t="str">
            <v>0E</v>
          </cell>
          <cell r="D340">
            <v>20</v>
          </cell>
          <cell r="E340" t="str">
            <v>N</v>
          </cell>
          <cell r="F340">
            <v>3.5700000000000003E-2</v>
          </cell>
        </row>
        <row r="341">
          <cell r="A341" t="str">
            <v>11.0M.20.N</v>
          </cell>
          <cell r="B341">
            <v>11</v>
          </cell>
          <cell r="C341" t="str">
            <v>0M</v>
          </cell>
          <cell r="D341">
            <v>20</v>
          </cell>
          <cell r="E341" t="str">
            <v>N</v>
          </cell>
          <cell r="F341">
            <v>3.5700000000000003E-2</v>
          </cell>
        </row>
        <row r="342">
          <cell r="A342" t="str">
            <v>11.18.20.N</v>
          </cell>
          <cell r="B342">
            <v>11</v>
          </cell>
          <cell r="C342">
            <v>18</v>
          </cell>
          <cell r="D342">
            <v>20</v>
          </cell>
          <cell r="E342" t="str">
            <v>N</v>
          </cell>
          <cell r="F342">
            <v>3.5700000000000003E-2</v>
          </cell>
        </row>
        <row r="343">
          <cell r="A343" t="str">
            <v>11.7N.20.N</v>
          </cell>
          <cell r="B343">
            <v>11</v>
          </cell>
          <cell r="C343" t="str">
            <v>7N</v>
          </cell>
          <cell r="D343">
            <v>20</v>
          </cell>
          <cell r="E343" t="str">
            <v>N</v>
          </cell>
          <cell r="F343">
            <v>3.5700000000000003E-2</v>
          </cell>
        </row>
        <row r="344">
          <cell r="A344" t="str">
            <v>11.7P.20.N</v>
          </cell>
          <cell r="B344">
            <v>11</v>
          </cell>
          <cell r="C344" t="str">
            <v>7P</v>
          </cell>
          <cell r="D344">
            <v>20</v>
          </cell>
          <cell r="E344" t="str">
            <v>N</v>
          </cell>
          <cell r="F344">
            <v>3.5700000000000003E-2</v>
          </cell>
        </row>
        <row r="345">
          <cell r="A345" t="str">
            <v>11.7U.20.N</v>
          </cell>
          <cell r="B345">
            <v>11</v>
          </cell>
          <cell r="C345" t="str">
            <v>7U</v>
          </cell>
          <cell r="D345">
            <v>20</v>
          </cell>
          <cell r="E345" t="str">
            <v>N</v>
          </cell>
          <cell r="F345">
            <v>3.5700000000000003E-2</v>
          </cell>
        </row>
        <row r="346">
          <cell r="A346" t="str">
            <v>11.1.30.0</v>
          </cell>
          <cell r="B346">
            <v>11</v>
          </cell>
          <cell r="C346">
            <v>1</v>
          </cell>
          <cell r="D346">
            <v>30</v>
          </cell>
          <cell r="E346">
            <v>0</v>
          </cell>
          <cell r="F346">
            <v>0</v>
          </cell>
        </row>
        <row r="347">
          <cell r="A347" t="str">
            <v>11.1.30.A</v>
          </cell>
          <cell r="B347">
            <v>11</v>
          </cell>
          <cell r="C347">
            <v>1</v>
          </cell>
          <cell r="D347">
            <v>30</v>
          </cell>
          <cell r="E347" t="str">
            <v>A</v>
          </cell>
          <cell r="F347">
            <v>0</v>
          </cell>
        </row>
        <row r="348">
          <cell r="A348" t="str">
            <v>11.1.40.0</v>
          </cell>
          <cell r="B348">
            <v>11</v>
          </cell>
          <cell r="C348">
            <v>1</v>
          </cell>
          <cell r="D348">
            <v>40</v>
          </cell>
          <cell r="E348">
            <v>0</v>
          </cell>
          <cell r="F348">
            <v>2.3300000000000001E-2</v>
          </cell>
        </row>
        <row r="349">
          <cell r="A349" t="str">
            <v>11.3.40.0</v>
          </cell>
          <cell r="B349">
            <v>11</v>
          </cell>
          <cell r="C349">
            <v>3</v>
          </cell>
          <cell r="D349">
            <v>40</v>
          </cell>
          <cell r="E349">
            <v>0</v>
          </cell>
          <cell r="F349">
            <v>2.3300000000000001E-2</v>
          </cell>
        </row>
        <row r="350">
          <cell r="A350" t="str">
            <v>11.15.40.0</v>
          </cell>
          <cell r="B350">
            <v>11</v>
          </cell>
          <cell r="C350">
            <v>15</v>
          </cell>
          <cell r="D350">
            <v>40</v>
          </cell>
          <cell r="E350">
            <v>0</v>
          </cell>
          <cell r="F350">
            <v>2.3300000000000001E-2</v>
          </cell>
        </row>
        <row r="351">
          <cell r="A351" t="str">
            <v>11.1.40.3</v>
          </cell>
          <cell r="B351">
            <v>11</v>
          </cell>
          <cell r="C351">
            <v>1</v>
          </cell>
          <cell r="D351">
            <v>40</v>
          </cell>
          <cell r="E351">
            <v>3</v>
          </cell>
          <cell r="F351">
            <v>2.3300000000000001E-2</v>
          </cell>
        </row>
        <row r="352">
          <cell r="A352" t="str">
            <v>11.70.40.3</v>
          </cell>
          <cell r="B352">
            <v>11</v>
          </cell>
          <cell r="C352">
            <v>70</v>
          </cell>
          <cell r="D352">
            <v>40</v>
          </cell>
          <cell r="E352">
            <v>3</v>
          </cell>
          <cell r="F352">
            <v>2.3300000000000001E-2</v>
          </cell>
        </row>
        <row r="353">
          <cell r="A353" t="str">
            <v>11.71.40.3</v>
          </cell>
          <cell r="B353">
            <v>11</v>
          </cell>
          <cell r="C353">
            <v>71</v>
          </cell>
          <cell r="D353">
            <v>40</v>
          </cell>
          <cell r="E353">
            <v>3</v>
          </cell>
          <cell r="F353">
            <v>2.3300000000000001E-2</v>
          </cell>
        </row>
        <row r="354">
          <cell r="A354" t="str">
            <v>11.1.40.A</v>
          </cell>
          <cell r="B354">
            <v>11</v>
          </cell>
          <cell r="C354">
            <v>1</v>
          </cell>
          <cell r="D354">
            <v>40</v>
          </cell>
          <cell r="E354" t="str">
            <v>A</v>
          </cell>
          <cell r="F354">
            <v>2.3300000000000001E-2</v>
          </cell>
        </row>
        <row r="355">
          <cell r="A355" t="str">
            <v>11.3.40.A</v>
          </cell>
          <cell r="B355">
            <v>11</v>
          </cell>
          <cell r="C355">
            <v>3</v>
          </cell>
          <cell r="D355">
            <v>40</v>
          </cell>
          <cell r="E355" t="str">
            <v>A</v>
          </cell>
          <cell r="F355">
            <v>2.3300000000000001E-2</v>
          </cell>
        </row>
        <row r="356">
          <cell r="A356" t="str">
            <v>11.14.40.A</v>
          </cell>
          <cell r="B356">
            <v>11</v>
          </cell>
          <cell r="C356">
            <v>14</v>
          </cell>
          <cell r="D356">
            <v>40</v>
          </cell>
          <cell r="E356" t="str">
            <v>A</v>
          </cell>
          <cell r="F356">
            <v>2.3300000000000001E-2</v>
          </cell>
        </row>
        <row r="357">
          <cell r="A357" t="str">
            <v>11.15.40.A</v>
          </cell>
          <cell r="B357">
            <v>11</v>
          </cell>
          <cell r="C357">
            <v>15</v>
          </cell>
          <cell r="D357">
            <v>40</v>
          </cell>
          <cell r="E357" t="str">
            <v>A</v>
          </cell>
          <cell r="F357">
            <v>2.3300000000000001E-2</v>
          </cell>
        </row>
        <row r="358">
          <cell r="A358" t="str">
            <v>11.70.40.B</v>
          </cell>
          <cell r="B358">
            <v>11</v>
          </cell>
          <cell r="C358">
            <v>70</v>
          </cell>
          <cell r="D358">
            <v>40</v>
          </cell>
          <cell r="E358" t="str">
            <v>B</v>
          </cell>
          <cell r="F358">
            <v>2.3300000000000001E-2</v>
          </cell>
        </row>
        <row r="359">
          <cell r="A359" t="str">
            <v>11.71.40.B</v>
          </cell>
          <cell r="B359">
            <v>11</v>
          </cell>
          <cell r="C359">
            <v>71</v>
          </cell>
          <cell r="D359">
            <v>40</v>
          </cell>
          <cell r="E359" t="str">
            <v>B</v>
          </cell>
          <cell r="F359">
            <v>2.3300000000000001E-2</v>
          </cell>
        </row>
        <row r="360">
          <cell r="A360" t="str">
            <v>11.1.40.I</v>
          </cell>
          <cell r="B360">
            <v>11</v>
          </cell>
          <cell r="C360">
            <v>1</v>
          </cell>
          <cell r="D360">
            <v>40</v>
          </cell>
          <cell r="E360" t="str">
            <v>I</v>
          </cell>
          <cell r="F360">
            <v>2.3300000000000001E-2</v>
          </cell>
        </row>
        <row r="361">
          <cell r="A361" t="str">
            <v>11.14.40.I</v>
          </cell>
          <cell r="B361">
            <v>11</v>
          </cell>
          <cell r="C361">
            <v>14</v>
          </cell>
          <cell r="D361">
            <v>40</v>
          </cell>
          <cell r="E361" t="str">
            <v>I</v>
          </cell>
          <cell r="F361">
            <v>2.3300000000000001E-2</v>
          </cell>
        </row>
        <row r="362">
          <cell r="A362" t="str">
            <v>11.1.40.N</v>
          </cell>
          <cell r="B362">
            <v>11</v>
          </cell>
          <cell r="C362">
            <v>1</v>
          </cell>
          <cell r="D362">
            <v>40</v>
          </cell>
          <cell r="E362" t="str">
            <v>N</v>
          </cell>
          <cell r="F362">
            <v>2.3300000000000001E-2</v>
          </cell>
        </row>
        <row r="363">
          <cell r="A363" t="str">
            <v>11.0B.40.N</v>
          </cell>
          <cell r="B363">
            <v>11</v>
          </cell>
          <cell r="C363" t="str">
            <v>0B</v>
          </cell>
          <cell r="D363">
            <v>40</v>
          </cell>
          <cell r="E363" t="str">
            <v>N</v>
          </cell>
          <cell r="F363">
            <v>2.3300000000000001E-2</v>
          </cell>
        </row>
        <row r="364">
          <cell r="A364" t="str">
            <v>11.0E.40.N</v>
          </cell>
          <cell r="B364">
            <v>11</v>
          </cell>
          <cell r="C364" t="str">
            <v>0E</v>
          </cell>
          <cell r="D364">
            <v>40</v>
          </cell>
          <cell r="E364" t="str">
            <v>N</v>
          </cell>
          <cell r="F364">
            <v>2.3300000000000001E-2</v>
          </cell>
        </row>
        <row r="365">
          <cell r="A365" t="str">
            <v>11.14.40.N</v>
          </cell>
          <cell r="B365">
            <v>11</v>
          </cell>
          <cell r="C365">
            <v>14</v>
          </cell>
          <cell r="D365">
            <v>40</v>
          </cell>
          <cell r="E365" t="str">
            <v>N</v>
          </cell>
          <cell r="F365">
            <v>2.3300000000000001E-2</v>
          </cell>
        </row>
        <row r="366">
          <cell r="A366" t="str">
            <v>11.7U.40.N</v>
          </cell>
          <cell r="B366">
            <v>11</v>
          </cell>
          <cell r="C366" t="str">
            <v>7U</v>
          </cell>
          <cell r="D366">
            <v>40</v>
          </cell>
          <cell r="E366" t="str">
            <v>N</v>
          </cell>
          <cell r="F366">
            <v>2.3300000000000001E-2</v>
          </cell>
        </row>
        <row r="367">
          <cell r="A367" t="str">
            <v>11.1.50.0</v>
          </cell>
          <cell r="B367">
            <v>11</v>
          </cell>
          <cell r="C367">
            <v>1</v>
          </cell>
          <cell r="D367">
            <v>50</v>
          </cell>
          <cell r="E367">
            <v>0</v>
          </cell>
          <cell r="F367">
            <v>2.3300000000000001E-2</v>
          </cell>
        </row>
        <row r="368">
          <cell r="A368" t="str">
            <v>11.1.50.A</v>
          </cell>
          <cell r="B368">
            <v>11</v>
          </cell>
          <cell r="C368">
            <v>1</v>
          </cell>
          <cell r="D368">
            <v>50</v>
          </cell>
          <cell r="E368" t="str">
            <v>A</v>
          </cell>
          <cell r="F368">
            <v>2.3300000000000001E-2</v>
          </cell>
        </row>
        <row r="369">
          <cell r="A369" t="str">
            <v>11.1.50.N</v>
          </cell>
          <cell r="B369">
            <v>11</v>
          </cell>
          <cell r="C369">
            <v>1</v>
          </cell>
          <cell r="D369">
            <v>50</v>
          </cell>
          <cell r="E369" t="str">
            <v>N</v>
          </cell>
          <cell r="F369">
            <v>2.3300000000000001E-2</v>
          </cell>
        </row>
        <row r="370">
          <cell r="A370" t="str">
            <v>11.1.81.0</v>
          </cell>
          <cell r="B370">
            <v>11</v>
          </cell>
          <cell r="C370">
            <v>1</v>
          </cell>
          <cell r="D370">
            <v>81</v>
          </cell>
          <cell r="E370">
            <v>0</v>
          </cell>
          <cell r="F370">
            <v>0</v>
          </cell>
        </row>
        <row r="371">
          <cell r="A371" t="str">
            <v>11.1.81.A</v>
          </cell>
          <cell r="B371">
            <v>11</v>
          </cell>
          <cell r="C371">
            <v>1</v>
          </cell>
          <cell r="D371">
            <v>81</v>
          </cell>
          <cell r="E371" t="str">
            <v>A</v>
          </cell>
          <cell r="F371">
            <v>0</v>
          </cell>
        </row>
        <row r="372">
          <cell r="A372" t="str">
            <v>11.1.82.0</v>
          </cell>
          <cell r="B372">
            <v>11</v>
          </cell>
          <cell r="C372">
            <v>1</v>
          </cell>
          <cell r="D372">
            <v>82</v>
          </cell>
          <cell r="E372">
            <v>0</v>
          </cell>
          <cell r="F372">
            <v>0</v>
          </cell>
        </row>
        <row r="373">
          <cell r="A373" t="str">
            <v>11.1.82.A</v>
          </cell>
          <cell r="B373">
            <v>11</v>
          </cell>
          <cell r="C373">
            <v>1</v>
          </cell>
          <cell r="D373">
            <v>82</v>
          </cell>
          <cell r="E373" t="str">
            <v>A</v>
          </cell>
          <cell r="F373">
            <v>0</v>
          </cell>
        </row>
        <row r="374">
          <cell r="A374" t="str">
            <v>11.1.84.0</v>
          </cell>
          <cell r="B374">
            <v>11</v>
          </cell>
          <cell r="C374">
            <v>1</v>
          </cell>
          <cell r="D374">
            <v>84</v>
          </cell>
          <cell r="E374">
            <v>0</v>
          </cell>
          <cell r="F374">
            <v>0</v>
          </cell>
        </row>
        <row r="375">
          <cell r="A375" t="str">
            <v>11.1.84.A</v>
          </cell>
          <cell r="B375">
            <v>11</v>
          </cell>
          <cell r="C375">
            <v>1</v>
          </cell>
          <cell r="D375">
            <v>84</v>
          </cell>
          <cell r="E375" t="str">
            <v>A</v>
          </cell>
          <cell r="F375">
            <v>0</v>
          </cell>
        </row>
        <row r="376">
          <cell r="A376" t="str">
            <v>11.1.85.0</v>
          </cell>
          <cell r="B376">
            <v>11</v>
          </cell>
          <cell r="C376">
            <v>1</v>
          </cell>
          <cell r="D376">
            <v>85</v>
          </cell>
          <cell r="E376">
            <v>0</v>
          </cell>
          <cell r="F376">
            <v>0</v>
          </cell>
        </row>
        <row r="377">
          <cell r="A377" t="str">
            <v>11.1.85.A</v>
          </cell>
          <cell r="B377">
            <v>11</v>
          </cell>
          <cell r="C377">
            <v>1</v>
          </cell>
          <cell r="D377">
            <v>85</v>
          </cell>
          <cell r="E377" t="str">
            <v>A</v>
          </cell>
          <cell r="F377">
            <v>0</v>
          </cell>
        </row>
        <row r="378">
          <cell r="A378" t="str">
            <v>11.1.98.0</v>
          </cell>
          <cell r="B378">
            <v>11</v>
          </cell>
          <cell r="C378">
            <v>1</v>
          </cell>
          <cell r="D378">
            <v>98</v>
          </cell>
          <cell r="E378">
            <v>0</v>
          </cell>
          <cell r="F378">
            <v>0</v>
          </cell>
        </row>
        <row r="379">
          <cell r="A379" t="str">
            <v>11.1.98.A</v>
          </cell>
          <cell r="B379">
            <v>11</v>
          </cell>
          <cell r="C379">
            <v>1</v>
          </cell>
          <cell r="D379">
            <v>98</v>
          </cell>
          <cell r="E379" t="str">
            <v>A</v>
          </cell>
          <cell r="F379">
            <v>0</v>
          </cell>
        </row>
        <row r="380">
          <cell r="A380" t="str">
            <v>13.1.0.0</v>
          </cell>
          <cell r="B380">
            <v>13</v>
          </cell>
          <cell r="C380">
            <v>1</v>
          </cell>
          <cell r="D380">
            <v>0</v>
          </cell>
          <cell r="E380">
            <v>0</v>
          </cell>
          <cell r="F380">
            <v>1.3299999999999999E-2</v>
          </cell>
        </row>
        <row r="381">
          <cell r="A381" t="str">
            <v>13.3.0.0</v>
          </cell>
          <cell r="B381">
            <v>13</v>
          </cell>
          <cell r="C381">
            <v>3</v>
          </cell>
          <cell r="D381">
            <v>0</v>
          </cell>
          <cell r="E381">
            <v>0</v>
          </cell>
          <cell r="F381">
            <v>1.3299999999999999E-2</v>
          </cell>
        </row>
        <row r="382">
          <cell r="A382" t="str">
            <v>13.15.0.0</v>
          </cell>
          <cell r="B382">
            <v>13</v>
          </cell>
          <cell r="C382">
            <v>15</v>
          </cell>
          <cell r="D382">
            <v>0</v>
          </cell>
          <cell r="E382">
            <v>0</v>
          </cell>
          <cell r="F382">
            <v>1.3299999999999999E-2</v>
          </cell>
        </row>
        <row r="383">
          <cell r="A383" t="str">
            <v>13.18.0.0</v>
          </cell>
          <cell r="B383">
            <v>13</v>
          </cell>
          <cell r="C383">
            <v>18</v>
          </cell>
          <cell r="D383">
            <v>0</v>
          </cell>
          <cell r="E383">
            <v>0</v>
          </cell>
          <cell r="F383">
            <v>1.3299999999999999E-2</v>
          </cell>
        </row>
        <row r="384">
          <cell r="A384" t="str">
            <v>13.1.0.1</v>
          </cell>
          <cell r="B384">
            <v>13</v>
          </cell>
          <cell r="C384">
            <v>1</v>
          </cell>
          <cell r="D384">
            <v>0</v>
          </cell>
          <cell r="E384">
            <v>1</v>
          </cell>
          <cell r="F384">
            <v>1.3299999999999999E-2</v>
          </cell>
        </row>
        <row r="385">
          <cell r="A385" t="str">
            <v>13.1.0.2</v>
          </cell>
          <cell r="B385">
            <v>13</v>
          </cell>
          <cell r="C385">
            <v>1</v>
          </cell>
          <cell r="D385">
            <v>0</v>
          </cell>
          <cell r="E385">
            <v>2</v>
          </cell>
          <cell r="F385">
            <v>1.3299999999999999E-2</v>
          </cell>
        </row>
        <row r="386">
          <cell r="A386" t="str">
            <v>13.1.0.3</v>
          </cell>
          <cell r="B386">
            <v>13</v>
          </cell>
          <cell r="C386">
            <v>1</v>
          </cell>
          <cell r="D386">
            <v>0</v>
          </cell>
          <cell r="E386">
            <v>3</v>
          </cell>
          <cell r="F386">
            <v>1.3299999999999999E-2</v>
          </cell>
        </row>
        <row r="387">
          <cell r="A387" t="str">
            <v>13.71.0.3</v>
          </cell>
          <cell r="B387">
            <v>13</v>
          </cell>
          <cell r="C387">
            <v>71</v>
          </cell>
          <cell r="D387">
            <v>0</v>
          </cell>
          <cell r="E387">
            <v>3</v>
          </cell>
          <cell r="F387">
            <v>1.3299999999999999E-2</v>
          </cell>
        </row>
        <row r="388">
          <cell r="A388" t="str">
            <v>13.1.0.A</v>
          </cell>
          <cell r="B388">
            <v>13</v>
          </cell>
          <cell r="C388">
            <v>1</v>
          </cell>
          <cell r="D388">
            <v>0</v>
          </cell>
          <cell r="E388" t="str">
            <v>A</v>
          </cell>
          <cell r="F388">
            <v>1.3299999999999999E-2</v>
          </cell>
        </row>
        <row r="389">
          <cell r="A389" t="str">
            <v>13.3.0.A</v>
          </cell>
          <cell r="B389">
            <v>13</v>
          </cell>
          <cell r="C389">
            <v>3</v>
          </cell>
          <cell r="D389">
            <v>0</v>
          </cell>
          <cell r="E389" t="str">
            <v>A</v>
          </cell>
          <cell r="F389">
            <v>1.3299999999999999E-2</v>
          </cell>
        </row>
        <row r="390">
          <cell r="A390" t="str">
            <v>13.15.0.A</v>
          </cell>
          <cell r="B390">
            <v>13</v>
          </cell>
          <cell r="C390">
            <v>15</v>
          </cell>
          <cell r="D390">
            <v>0</v>
          </cell>
          <cell r="E390" t="str">
            <v>A</v>
          </cell>
          <cell r="F390">
            <v>1.3299999999999999E-2</v>
          </cell>
        </row>
        <row r="391">
          <cell r="A391" t="str">
            <v>13.18.0.A</v>
          </cell>
          <cell r="B391">
            <v>13</v>
          </cell>
          <cell r="C391">
            <v>18</v>
          </cell>
          <cell r="D391">
            <v>0</v>
          </cell>
          <cell r="E391" t="str">
            <v>A</v>
          </cell>
          <cell r="F391">
            <v>1.3299999999999999E-2</v>
          </cell>
        </row>
        <row r="392">
          <cell r="A392" t="str">
            <v>13.71.0.B</v>
          </cell>
          <cell r="B392">
            <v>13</v>
          </cell>
          <cell r="C392">
            <v>71</v>
          </cell>
          <cell r="D392">
            <v>0</v>
          </cell>
          <cell r="E392" t="str">
            <v>B</v>
          </cell>
          <cell r="F392">
            <v>1.3299999999999999E-2</v>
          </cell>
        </row>
        <row r="393">
          <cell r="A393" t="str">
            <v>13.1.0.I</v>
          </cell>
          <cell r="B393">
            <v>13</v>
          </cell>
          <cell r="C393">
            <v>1</v>
          </cell>
          <cell r="D393">
            <v>0</v>
          </cell>
          <cell r="E393" t="str">
            <v>I</v>
          </cell>
          <cell r="F393">
            <v>1.3299999999999999E-2</v>
          </cell>
        </row>
        <row r="394">
          <cell r="A394" t="str">
            <v>13.14.0.I</v>
          </cell>
          <cell r="B394">
            <v>13</v>
          </cell>
          <cell r="C394">
            <v>14</v>
          </cell>
          <cell r="D394">
            <v>0</v>
          </cell>
          <cell r="E394" t="str">
            <v>I</v>
          </cell>
          <cell r="F394">
            <v>1.3299999999999999E-2</v>
          </cell>
        </row>
        <row r="395">
          <cell r="A395" t="str">
            <v>13.1.0.N</v>
          </cell>
          <cell r="B395">
            <v>13</v>
          </cell>
          <cell r="C395">
            <v>1</v>
          </cell>
          <cell r="D395">
            <v>0</v>
          </cell>
          <cell r="E395" t="str">
            <v>N</v>
          </cell>
          <cell r="F395">
            <v>1.3299999999999999E-2</v>
          </cell>
        </row>
        <row r="396">
          <cell r="A396" t="str">
            <v>13.0B.0.N</v>
          </cell>
          <cell r="B396">
            <v>13</v>
          </cell>
          <cell r="C396" t="str">
            <v>0B</v>
          </cell>
          <cell r="D396">
            <v>0</v>
          </cell>
          <cell r="E396" t="str">
            <v>N</v>
          </cell>
          <cell r="F396">
            <v>1.3299999999999999E-2</v>
          </cell>
        </row>
        <row r="397">
          <cell r="A397" t="str">
            <v>13.0E.0.N</v>
          </cell>
          <cell r="B397">
            <v>13</v>
          </cell>
          <cell r="C397" t="str">
            <v>0E</v>
          </cell>
          <cell r="D397">
            <v>0</v>
          </cell>
          <cell r="E397" t="str">
            <v>N</v>
          </cell>
          <cell r="F397">
            <v>1.3299999999999999E-2</v>
          </cell>
        </row>
        <row r="398">
          <cell r="A398" t="str">
            <v>13.0M.0.N</v>
          </cell>
          <cell r="B398">
            <v>13</v>
          </cell>
          <cell r="C398" t="str">
            <v>0M</v>
          </cell>
          <cell r="D398">
            <v>0</v>
          </cell>
          <cell r="E398" t="str">
            <v>N</v>
          </cell>
          <cell r="F398">
            <v>1.3299999999999999E-2</v>
          </cell>
        </row>
        <row r="399">
          <cell r="A399" t="str">
            <v>13.14.0.N</v>
          </cell>
          <cell r="B399">
            <v>13</v>
          </cell>
          <cell r="C399">
            <v>14</v>
          </cell>
          <cell r="D399">
            <v>0</v>
          </cell>
          <cell r="E399" t="str">
            <v>N</v>
          </cell>
          <cell r="F399">
            <v>1.3299999999999999E-2</v>
          </cell>
        </row>
        <row r="400">
          <cell r="A400" t="str">
            <v>13.18.0.N</v>
          </cell>
          <cell r="B400">
            <v>13</v>
          </cell>
          <cell r="C400">
            <v>18</v>
          </cell>
          <cell r="D400">
            <v>0</v>
          </cell>
          <cell r="E400" t="str">
            <v>N</v>
          </cell>
          <cell r="F400">
            <v>1.3299999999999999E-2</v>
          </cell>
        </row>
        <row r="401">
          <cell r="A401" t="str">
            <v>13.7P.0.N</v>
          </cell>
          <cell r="B401">
            <v>13</v>
          </cell>
          <cell r="C401" t="str">
            <v>7P</v>
          </cell>
          <cell r="D401">
            <v>0</v>
          </cell>
          <cell r="E401" t="str">
            <v>N</v>
          </cell>
          <cell r="F401">
            <v>1.3299999999999999E-2</v>
          </cell>
        </row>
        <row r="402">
          <cell r="A402" t="str">
            <v>13.7U.0.N</v>
          </cell>
          <cell r="B402">
            <v>13</v>
          </cell>
          <cell r="C402" t="str">
            <v>7U</v>
          </cell>
          <cell r="D402">
            <v>0</v>
          </cell>
          <cell r="E402" t="str">
            <v>N</v>
          </cell>
          <cell r="F402">
            <v>1.3299999999999999E-2</v>
          </cell>
        </row>
        <row r="403">
          <cell r="A403" t="str">
            <v>13.1.98.0</v>
          </cell>
          <cell r="B403">
            <v>13</v>
          </cell>
          <cell r="C403">
            <v>1</v>
          </cell>
          <cell r="D403">
            <v>98</v>
          </cell>
          <cell r="E403">
            <v>0</v>
          </cell>
          <cell r="F403">
            <v>0</v>
          </cell>
        </row>
        <row r="404">
          <cell r="A404" t="str">
            <v>13.1.98.A</v>
          </cell>
          <cell r="B404">
            <v>13</v>
          </cell>
          <cell r="C404">
            <v>1</v>
          </cell>
          <cell r="D404">
            <v>98</v>
          </cell>
          <cell r="E404" t="str">
            <v>A</v>
          </cell>
          <cell r="F404">
            <v>0</v>
          </cell>
        </row>
        <row r="405">
          <cell r="A405" t="str">
            <v>16.1.1X.0</v>
          </cell>
          <cell r="B405">
            <v>16</v>
          </cell>
          <cell r="C405">
            <v>1</v>
          </cell>
          <cell r="D405" t="str">
            <v>1X</v>
          </cell>
          <cell r="E405">
            <v>0</v>
          </cell>
          <cell r="F405">
            <v>2.63E-2</v>
          </cell>
        </row>
        <row r="406">
          <cell r="A406" t="str">
            <v>16.3.1X.0</v>
          </cell>
          <cell r="B406">
            <v>16</v>
          </cell>
          <cell r="C406">
            <v>3</v>
          </cell>
          <cell r="D406" t="str">
            <v>1X</v>
          </cell>
          <cell r="E406">
            <v>0</v>
          </cell>
          <cell r="F406">
            <v>2.63E-2</v>
          </cell>
        </row>
        <row r="407">
          <cell r="A407" t="str">
            <v>16.12.1X.0</v>
          </cell>
          <cell r="B407">
            <v>16</v>
          </cell>
          <cell r="C407">
            <v>12</v>
          </cell>
          <cell r="D407" t="str">
            <v>1X</v>
          </cell>
          <cell r="E407">
            <v>0</v>
          </cell>
          <cell r="F407">
            <v>2.63E-2</v>
          </cell>
        </row>
        <row r="408">
          <cell r="A408" t="str">
            <v>16.1.1X.1</v>
          </cell>
          <cell r="B408">
            <v>16</v>
          </cell>
          <cell r="C408">
            <v>1</v>
          </cell>
          <cell r="D408" t="str">
            <v>1X</v>
          </cell>
          <cell r="E408">
            <v>1</v>
          </cell>
          <cell r="F408">
            <v>2.63E-2</v>
          </cell>
        </row>
        <row r="409">
          <cell r="A409" t="str">
            <v>16.1.1X.2</v>
          </cell>
          <cell r="B409">
            <v>16</v>
          </cell>
          <cell r="C409">
            <v>1</v>
          </cell>
          <cell r="D409" t="str">
            <v>1X</v>
          </cell>
          <cell r="E409">
            <v>2</v>
          </cell>
          <cell r="F409">
            <v>2.63E-2</v>
          </cell>
        </row>
        <row r="410">
          <cell r="A410" t="str">
            <v>16.1.1X.3</v>
          </cell>
          <cell r="B410">
            <v>16</v>
          </cell>
          <cell r="C410">
            <v>1</v>
          </cell>
          <cell r="D410" t="str">
            <v>1X</v>
          </cell>
          <cell r="E410">
            <v>3</v>
          </cell>
          <cell r="F410">
            <v>2.63E-2</v>
          </cell>
        </row>
        <row r="411">
          <cell r="A411" t="str">
            <v>16.71.1X.3</v>
          </cell>
          <cell r="B411">
            <v>16</v>
          </cell>
          <cell r="C411">
            <v>71</v>
          </cell>
          <cell r="D411" t="str">
            <v>1X</v>
          </cell>
          <cell r="E411">
            <v>3</v>
          </cell>
          <cell r="F411">
            <v>2.63E-2</v>
          </cell>
        </row>
        <row r="412">
          <cell r="A412" t="str">
            <v>16.73.1X.3</v>
          </cell>
          <cell r="B412">
            <v>16</v>
          </cell>
          <cell r="C412">
            <v>73</v>
          </cell>
          <cell r="D412" t="str">
            <v>1X</v>
          </cell>
          <cell r="E412">
            <v>3</v>
          </cell>
          <cell r="F412">
            <v>2.63E-2</v>
          </cell>
        </row>
        <row r="413">
          <cell r="A413" t="str">
            <v>16.1.1X.A</v>
          </cell>
          <cell r="B413">
            <v>16</v>
          </cell>
          <cell r="C413">
            <v>1</v>
          </cell>
          <cell r="D413" t="str">
            <v>1X</v>
          </cell>
          <cell r="E413" t="str">
            <v>A</v>
          </cell>
          <cell r="F413">
            <v>2.63E-2</v>
          </cell>
        </row>
        <row r="414">
          <cell r="A414" t="str">
            <v>16.3.1X.A</v>
          </cell>
          <cell r="B414">
            <v>16</v>
          </cell>
          <cell r="C414">
            <v>3</v>
          </cell>
          <cell r="D414" t="str">
            <v>1X</v>
          </cell>
          <cell r="E414" t="str">
            <v>A</v>
          </cell>
          <cell r="F414">
            <v>2.63E-2</v>
          </cell>
        </row>
        <row r="415">
          <cell r="A415" t="str">
            <v>16.71.1X.B</v>
          </cell>
          <cell r="B415">
            <v>16</v>
          </cell>
          <cell r="C415">
            <v>71</v>
          </cell>
          <cell r="D415" t="str">
            <v>1X</v>
          </cell>
          <cell r="E415" t="str">
            <v>B</v>
          </cell>
          <cell r="F415">
            <v>2.63E-2</v>
          </cell>
        </row>
        <row r="416">
          <cell r="A416" t="str">
            <v>16.73.1X.B</v>
          </cell>
          <cell r="B416">
            <v>16</v>
          </cell>
          <cell r="C416">
            <v>73</v>
          </cell>
          <cell r="D416" t="str">
            <v>1X</v>
          </cell>
          <cell r="E416" t="str">
            <v>B</v>
          </cell>
          <cell r="F416">
            <v>2.63E-2</v>
          </cell>
        </row>
        <row r="417">
          <cell r="A417" t="str">
            <v>16.1.1X.I</v>
          </cell>
          <cell r="B417">
            <v>16</v>
          </cell>
          <cell r="C417">
            <v>1</v>
          </cell>
          <cell r="D417" t="str">
            <v>1X</v>
          </cell>
          <cell r="E417" t="str">
            <v>I</v>
          </cell>
          <cell r="F417">
            <v>2.63E-2</v>
          </cell>
        </row>
        <row r="418">
          <cell r="A418" t="str">
            <v>16.14.1X.I</v>
          </cell>
          <cell r="B418">
            <v>16</v>
          </cell>
          <cell r="C418">
            <v>14</v>
          </cell>
          <cell r="D418" t="str">
            <v>1X</v>
          </cell>
          <cell r="E418" t="str">
            <v>I</v>
          </cell>
          <cell r="F418">
            <v>2.63E-2</v>
          </cell>
        </row>
        <row r="419">
          <cell r="A419" t="str">
            <v>16.1.1X.N</v>
          </cell>
          <cell r="B419">
            <v>16</v>
          </cell>
          <cell r="C419">
            <v>1</v>
          </cell>
          <cell r="D419" t="str">
            <v>1X</v>
          </cell>
          <cell r="E419" t="str">
            <v>N</v>
          </cell>
          <cell r="F419">
            <v>2.63E-2</v>
          </cell>
        </row>
        <row r="420">
          <cell r="A420" t="str">
            <v>16.0B.1X.N</v>
          </cell>
          <cell r="B420">
            <v>16</v>
          </cell>
          <cell r="C420" t="str">
            <v>0B</v>
          </cell>
          <cell r="D420" t="str">
            <v>1X</v>
          </cell>
          <cell r="E420" t="str">
            <v>N</v>
          </cell>
          <cell r="F420">
            <v>2.63E-2</v>
          </cell>
        </row>
        <row r="421">
          <cell r="A421" t="str">
            <v>16.0E.1X.N</v>
          </cell>
          <cell r="B421">
            <v>16</v>
          </cell>
          <cell r="C421" t="str">
            <v>0E</v>
          </cell>
          <cell r="D421" t="str">
            <v>1X</v>
          </cell>
          <cell r="E421" t="str">
            <v>N</v>
          </cell>
          <cell r="F421">
            <v>2.63E-2</v>
          </cell>
        </row>
        <row r="422">
          <cell r="A422" t="str">
            <v>16.0M.1X.N</v>
          </cell>
          <cell r="B422">
            <v>16</v>
          </cell>
          <cell r="C422" t="str">
            <v>0M</v>
          </cell>
          <cell r="D422" t="str">
            <v>1X</v>
          </cell>
          <cell r="E422" t="str">
            <v>N</v>
          </cell>
          <cell r="F422">
            <v>2.63E-2</v>
          </cell>
        </row>
        <row r="423">
          <cell r="A423" t="str">
            <v>16.12.1X.N</v>
          </cell>
          <cell r="B423">
            <v>16</v>
          </cell>
          <cell r="C423">
            <v>12</v>
          </cell>
          <cell r="D423" t="str">
            <v>1X</v>
          </cell>
          <cell r="E423" t="str">
            <v>N</v>
          </cell>
          <cell r="F423">
            <v>2.63E-2</v>
          </cell>
        </row>
        <row r="424">
          <cell r="A424" t="str">
            <v>16.27.1X.N</v>
          </cell>
          <cell r="B424">
            <v>16</v>
          </cell>
          <cell r="C424">
            <v>27</v>
          </cell>
          <cell r="D424" t="str">
            <v>1X</v>
          </cell>
          <cell r="E424" t="str">
            <v>N</v>
          </cell>
          <cell r="F424">
            <v>2.63E-2</v>
          </cell>
        </row>
        <row r="425">
          <cell r="A425" t="str">
            <v>16.72.1X.N</v>
          </cell>
          <cell r="B425">
            <v>16</v>
          </cell>
          <cell r="C425">
            <v>72</v>
          </cell>
          <cell r="D425" t="str">
            <v>1X</v>
          </cell>
          <cell r="E425" t="str">
            <v>N</v>
          </cell>
          <cell r="F425">
            <v>2.63E-2</v>
          </cell>
        </row>
        <row r="426">
          <cell r="A426" t="str">
            <v>16.7P.1X.N</v>
          </cell>
          <cell r="B426">
            <v>16</v>
          </cell>
          <cell r="C426" t="str">
            <v>7P</v>
          </cell>
          <cell r="D426" t="str">
            <v>1X</v>
          </cell>
          <cell r="E426" t="str">
            <v>N</v>
          </cell>
          <cell r="F426">
            <v>2.63E-2</v>
          </cell>
        </row>
        <row r="427">
          <cell r="A427" t="str">
            <v>16.7U.1X.N</v>
          </cell>
          <cell r="B427">
            <v>16</v>
          </cell>
          <cell r="C427" t="str">
            <v>7U</v>
          </cell>
          <cell r="D427" t="str">
            <v>1X</v>
          </cell>
          <cell r="E427" t="str">
            <v>N</v>
          </cell>
          <cell r="F427">
            <v>2.63E-2</v>
          </cell>
        </row>
        <row r="428">
          <cell r="A428" t="str">
            <v>16.1.2X.0</v>
          </cell>
          <cell r="B428">
            <v>16</v>
          </cell>
          <cell r="C428">
            <v>1</v>
          </cell>
          <cell r="D428" t="str">
            <v>2X</v>
          </cell>
          <cell r="E428">
            <v>0</v>
          </cell>
          <cell r="F428">
            <v>2.63E-2</v>
          </cell>
        </row>
        <row r="429">
          <cell r="A429" t="str">
            <v>16.1.2X.3</v>
          </cell>
          <cell r="B429">
            <v>16</v>
          </cell>
          <cell r="C429">
            <v>1</v>
          </cell>
          <cell r="D429" t="str">
            <v>2X</v>
          </cell>
          <cell r="E429">
            <v>3</v>
          </cell>
          <cell r="F429">
            <v>2.63E-2</v>
          </cell>
        </row>
        <row r="430">
          <cell r="A430" t="str">
            <v>16.71.2X.3</v>
          </cell>
          <cell r="B430">
            <v>16</v>
          </cell>
          <cell r="C430">
            <v>71</v>
          </cell>
          <cell r="D430" t="str">
            <v>2X</v>
          </cell>
          <cell r="E430">
            <v>3</v>
          </cell>
          <cell r="F430">
            <v>2.63E-2</v>
          </cell>
        </row>
        <row r="431">
          <cell r="A431" t="str">
            <v>16.1.2X.A</v>
          </cell>
          <cell r="B431">
            <v>16</v>
          </cell>
          <cell r="C431">
            <v>1</v>
          </cell>
          <cell r="D431" t="str">
            <v>2X</v>
          </cell>
          <cell r="E431" t="str">
            <v>A</v>
          </cell>
          <cell r="F431">
            <v>2.63E-2</v>
          </cell>
        </row>
        <row r="432">
          <cell r="A432" t="str">
            <v>16.71.2X.B</v>
          </cell>
          <cell r="B432">
            <v>16</v>
          </cell>
          <cell r="C432">
            <v>71</v>
          </cell>
          <cell r="D432" t="str">
            <v>2X</v>
          </cell>
          <cell r="E432" t="str">
            <v>B</v>
          </cell>
          <cell r="F432">
            <v>2.63E-2</v>
          </cell>
        </row>
        <row r="433">
          <cell r="A433" t="str">
            <v>16.1.2X.N</v>
          </cell>
          <cell r="B433">
            <v>16</v>
          </cell>
          <cell r="C433">
            <v>1</v>
          </cell>
          <cell r="D433" t="str">
            <v>2X</v>
          </cell>
          <cell r="E433" t="str">
            <v>N</v>
          </cell>
          <cell r="F433">
            <v>2.63E-2</v>
          </cell>
        </row>
        <row r="434">
          <cell r="A434" t="str">
            <v>16.1.3X.0</v>
          </cell>
          <cell r="B434">
            <v>16</v>
          </cell>
          <cell r="C434">
            <v>1</v>
          </cell>
          <cell r="D434" t="str">
            <v>3X</v>
          </cell>
          <cell r="E434">
            <v>0</v>
          </cell>
          <cell r="F434">
            <v>0.1</v>
          </cell>
        </row>
        <row r="435">
          <cell r="A435" t="str">
            <v>16.1.3X.A</v>
          </cell>
          <cell r="B435">
            <v>16</v>
          </cell>
          <cell r="C435">
            <v>1</v>
          </cell>
          <cell r="D435" t="str">
            <v>3X</v>
          </cell>
          <cell r="E435" t="str">
            <v>A</v>
          </cell>
          <cell r="F435">
            <v>0.1</v>
          </cell>
        </row>
        <row r="436">
          <cell r="A436" t="str">
            <v>16.1.3X.N</v>
          </cell>
          <cell r="B436">
            <v>16</v>
          </cell>
          <cell r="C436">
            <v>1</v>
          </cell>
          <cell r="D436" t="str">
            <v>3X</v>
          </cell>
          <cell r="E436" t="str">
            <v>N</v>
          </cell>
          <cell r="F436">
            <v>0.1</v>
          </cell>
        </row>
        <row r="437">
          <cell r="A437" t="str">
            <v>16.27.3X.N</v>
          </cell>
          <cell r="B437">
            <v>16</v>
          </cell>
          <cell r="C437">
            <v>27</v>
          </cell>
          <cell r="D437" t="str">
            <v>3X</v>
          </cell>
          <cell r="E437" t="str">
            <v>N</v>
          </cell>
          <cell r="F437">
            <v>0.1</v>
          </cell>
        </row>
        <row r="438">
          <cell r="A438" t="str">
            <v>16.72.3X.N</v>
          </cell>
          <cell r="B438">
            <v>16</v>
          </cell>
          <cell r="C438">
            <v>72</v>
          </cell>
          <cell r="D438" t="str">
            <v>3X</v>
          </cell>
          <cell r="E438" t="str">
            <v>N</v>
          </cell>
          <cell r="F438">
            <v>0.1</v>
          </cell>
        </row>
        <row r="439">
          <cell r="A439" t="str">
            <v>16.7U.3X.N</v>
          </cell>
          <cell r="B439">
            <v>16</v>
          </cell>
          <cell r="C439" t="str">
            <v>7U</v>
          </cell>
          <cell r="D439" t="str">
            <v>3X</v>
          </cell>
          <cell r="E439" t="str">
            <v>N</v>
          </cell>
          <cell r="F439">
            <v>0.1</v>
          </cell>
        </row>
        <row r="440">
          <cell r="A440" t="str">
            <v>16.1.9X.0</v>
          </cell>
          <cell r="B440">
            <v>16</v>
          </cell>
          <cell r="C440">
            <v>1</v>
          </cell>
          <cell r="D440" t="str">
            <v>9X</v>
          </cell>
          <cell r="E440">
            <v>0</v>
          </cell>
          <cell r="F440">
            <v>0</v>
          </cell>
        </row>
        <row r="441">
          <cell r="A441" t="str">
            <v>17.1.1X.0</v>
          </cell>
          <cell r="B441">
            <v>17</v>
          </cell>
          <cell r="C441">
            <v>1</v>
          </cell>
          <cell r="D441" t="str">
            <v>1X</v>
          </cell>
          <cell r="E441">
            <v>0</v>
          </cell>
          <cell r="F441">
            <v>3.6999999999999998E-2</v>
          </cell>
        </row>
        <row r="442">
          <cell r="A442" t="str">
            <v>17.3.1X.0</v>
          </cell>
          <cell r="B442">
            <v>17</v>
          </cell>
          <cell r="C442">
            <v>3</v>
          </cell>
          <cell r="D442" t="str">
            <v>1X</v>
          </cell>
          <cell r="E442">
            <v>0</v>
          </cell>
          <cell r="F442">
            <v>3.6999999999999998E-2</v>
          </cell>
        </row>
        <row r="443">
          <cell r="A443" t="str">
            <v>17.1.1X.1</v>
          </cell>
          <cell r="B443">
            <v>17</v>
          </cell>
          <cell r="C443">
            <v>1</v>
          </cell>
          <cell r="D443" t="str">
            <v>1X</v>
          </cell>
          <cell r="E443">
            <v>1</v>
          </cell>
          <cell r="F443">
            <v>3.6999999999999998E-2</v>
          </cell>
        </row>
        <row r="444">
          <cell r="A444" t="str">
            <v>17.1.1X.A</v>
          </cell>
          <cell r="B444">
            <v>17</v>
          </cell>
          <cell r="C444">
            <v>1</v>
          </cell>
          <cell r="D444" t="str">
            <v>1X</v>
          </cell>
          <cell r="E444" t="str">
            <v>A</v>
          </cell>
          <cell r="F444">
            <v>3.6999999999999998E-2</v>
          </cell>
        </row>
        <row r="445">
          <cell r="A445" t="str">
            <v>17.3.1X.A</v>
          </cell>
          <cell r="B445">
            <v>17</v>
          </cell>
          <cell r="C445">
            <v>3</v>
          </cell>
          <cell r="D445" t="str">
            <v>1X</v>
          </cell>
          <cell r="E445" t="str">
            <v>A</v>
          </cell>
          <cell r="F445">
            <v>3.6999999999999998E-2</v>
          </cell>
        </row>
        <row r="446">
          <cell r="A446" t="str">
            <v>17.1.1X.I</v>
          </cell>
          <cell r="B446">
            <v>17</v>
          </cell>
          <cell r="C446">
            <v>1</v>
          </cell>
          <cell r="D446" t="str">
            <v>1X</v>
          </cell>
          <cell r="E446" t="str">
            <v>I</v>
          </cell>
          <cell r="F446">
            <v>3.6999999999999998E-2</v>
          </cell>
        </row>
        <row r="447">
          <cell r="A447" t="str">
            <v>17.1.1X.N</v>
          </cell>
          <cell r="B447">
            <v>17</v>
          </cell>
          <cell r="C447">
            <v>1</v>
          </cell>
          <cell r="D447" t="str">
            <v>1X</v>
          </cell>
          <cell r="E447" t="str">
            <v>N</v>
          </cell>
          <cell r="F447">
            <v>3.6999999999999998E-2</v>
          </cell>
        </row>
        <row r="448">
          <cell r="A448" t="str">
            <v>17.0B.1X.N</v>
          </cell>
          <cell r="B448">
            <v>17</v>
          </cell>
          <cell r="C448" t="str">
            <v>0B</v>
          </cell>
          <cell r="D448" t="str">
            <v>1X</v>
          </cell>
          <cell r="E448" t="str">
            <v>N</v>
          </cell>
          <cell r="F448">
            <v>3.6999999999999998E-2</v>
          </cell>
        </row>
        <row r="449">
          <cell r="A449" t="str">
            <v>17.0E.1X.N</v>
          </cell>
          <cell r="B449">
            <v>17</v>
          </cell>
          <cell r="C449" t="str">
            <v>0E</v>
          </cell>
          <cell r="D449" t="str">
            <v>1X</v>
          </cell>
          <cell r="E449" t="str">
            <v>N</v>
          </cell>
          <cell r="F449">
            <v>3.6999999999999998E-2</v>
          </cell>
        </row>
        <row r="450">
          <cell r="A450" t="str">
            <v>17.0M.1X.N</v>
          </cell>
          <cell r="B450">
            <v>17</v>
          </cell>
          <cell r="C450" t="str">
            <v>0M</v>
          </cell>
          <cell r="D450" t="str">
            <v>1X</v>
          </cell>
          <cell r="E450" t="str">
            <v>N</v>
          </cell>
          <cell r="F450">
            <v>3.6999999999999998E-2</v>
          </cell>
        </row>
        <row r="451">
          <cell r="A451" t="str">
            <v>17.7P.1X.N</v>
          </cell>
          <cell r="B451">
            <v>17</v>
          </cell>
          <cell r="C451" t="str">
            <v>7P</v>
          </cell>
          <cell r="D451" t="str">
            <v>1X</v>
          </cell>
          <cell r="E451" t="str">
            <v>N</v>
          </cell>
          <cell r="F451">
            <v>3.6999999999999998E-2</v>
          </cell>
        </row>
        <row r="452">
          <cell r="A452" t="str">
            <v>17.7U.1X.N</v>
          </cell>
          <cell r="B452">
            <v>17</v>
          </cell>
          <cell r="C452" t="str">
            <v>7U</v>
          </cell>
          <cell r="D452" t="str">
            <v>1X</v>
          </cell>
          <cell r="E452" t="str">
            <v>N</v>
          </cell>
          <cell r="F452">
            <v>3.6999999999999998E-2</v>
          </cell>
        </row>
        <row r="453">
          <cell r="A453" t="str">
            <v>17.1.2X.N</v>
          </cell>
          <cell r="B453">
            <v>17</v>
          </cell>
          <cell r="C453">
            <v>1</v>
          </cell>
          <cell r="D453" t="str">
            <v>2X</v>
          </cell>
          <cell r="E453" t="str">
            <v>N</v>
          </cell>
          <cell r="F453">
            <v>2.5000000000000001E-2</v>
          </cell>
        </row>
        <row r="454">
          <cell r="A454" t="str">
            <v>17.1.3X.0</v>
          </cell>
          <cell r="B454">
            <v>17</v>
          </cell>
          <cell r="C454">
            <v>1</v>
          </cell>
          <cell r="D454" t="str">
            <v>3X</v>
          </cell>
          <cell r="E454">
            <v>0</v>
          </cell>
          <cell r="F454">
            <v>3.6999999999999998E-2</v>
          </cell>
        </row>
        <row r="455">
          <cell r="A455" t="str">
            <v>17.1.3X.A</v>
          </cell>
          <cell r="B455">
            <v>17</v>
          </cell>
          <cell r="C455">
            <v>1</v>
          </cell>
          <cell r="D455" t="str">
            <v>3X</v>
          </cell>
          <cell r="E455" t="str">
            <v>A</v>
          </cell>
          <cell r="F455">
            <v>3.6999999999999998E-2</v>
          </cell>
        </row>
        <row r="456">
          <cell r="A456" t="str">
            <v>17.1.9X.0</v>
          </cell>
          <cell r="B456">
            <v>17</v>
          </cell>
          <cell r="C456">
            <v>1</v>
          </cell>
          <cell r="D456" t="str">
            <v>9X</v>
          </cell>
          <cell r="E456">
            <v>0</v>
          </cell>
          <cell r="F456">
            <v>0</v>
          </cell>
        </row>
        <row r="457">
          <cell r="A457" t="str">
            <v>17.1.9X.A</v>
          </cell>
          <cell r="B457">
            <v>17</v>
          </cell>
          <cell r="C457">
            <v>1</v>
          </cell>
          <cell r="D457" t="str">
            <v>9X</v>
          </cell>
          <cell r="E457" t="str">
            <v>A</v>
          </cell>
          <cell r="F457">
            <v>0</v>
          </cell>
        </row>
        <row r="458">
          <cell r="A458" t="str">
            <v>18.1.0.0</v>
          </cell>
          <cell r="B458">
            <v>18</v>
          </cell>
          <cell r="C458">
            <v>1</v>
          </cell>
          <cell r="D458">
            <v>0</v>
          </cell>
          <cell r="E458">
            <v>0</v>
          </cell>
          <cell r="F458">
            <v>2.5000000000000001E-2</v>
          </cell>
        </row>
        <row r="459">
          <cell r="A459" t="str">
            <v>18.3.0.0</v>
          </cell>
          <cell r="B459">
            <v>18</v>
          </cell>
          <cell r="C459">
            <v>3</v>
          </cell>
          <cell r="D459">
            <v>0</v>
          </cell>
          <cell r="E459">
            <v>0</v>
          </cell>
          <cell r="F459">
            <v>2.5000000000000001E-2</v>
          </cell>
        </row>
        <row r="460">
          <cell r="A460" t="str">
            <v>18.12.0.0</v>
          </cell>
          <cell r="B460">
            <v>18</v>
          </cell>
          <cell r="C460">
            <v>12</v>
          </cell>
          <cell r="D460">
            <v>0</v>
          </cell>
          <cell r="E460">
            <v>0</v>
          </cell>
          <cell r="F460">
            <v>2.5000000000000001E-2</v>
          </cell>
        </row>
        <row r="461">
          <cell r="A461" t="str">
            <v>18.7P.0.0</v>
          </cell>
          <cell r="B461">
            <v>18</v>
          </cell>
          <cell r="C461" t="str">
            <v>7P</v>
          </cell>
          <cell r="D461">
            <v>0</v>
          </cell>
          <cell r="E461">
            <v>0</v>
          </cell>
          <cell r="F461">
            <v>2.5000000000000001E-2</v>
          </cell>
        </row>
        <row r="462">
          <cell r="A462" t="str">
            <v>18.1.0.1</v>
          </cell>
          <cell r="B462">
            <v>18</v>
          </cell>
          <cell r="C462">
            <v>1</v>
          </cell>
          <cell r="D462">
            <v>0</v>
          </cell>
          <cell r="E462">
            <v>1</v>
          </cell>
          <cell r="F462">
            <v>2.5000000000000001E-2</v>
          </cell>
        </row>
        <row r="463">
          <cell r="A463" t="str">
            <v>18.1.0.2</v>
          </cell>
          <cell r="B463">
            <v>18</v>
          </cell>
          <cell r="C463">
            <v>1</v>
          </cell>
          <cell r="D463">
            <v>0</v>
          </cell>
          <cell r="E463">
            <v>2</v>
          </cell>
          <cell r="F463">
            <v>2.5000000000000001E-2</v>
          </cell>
        </row>
        <row r="464">
          <cell r="A464" t="str">
            <v>18.1.0.3</v>
          </cell>
          <cell r="B464">
            <v>18</v>
          </cell>
          <cell r="C464">
            <v>1</v>
          </cell>
          <cell r="D464">
            <v>0</v>
          </cell>
          <cell r="E464">
            <v>3</v>
          </cell>
          <cell r="F464">
            <v>2.5000000000000001E-2</v>
          </cell>
        </row>
        <row r="465">
          <cell r="A465" t="str">
            <v>18.71.0.3</v>
          </cell>
          <cell r="B465">
            <v>18</v>
          </cell>
          <cell r="C465">
            <v>71</v>
          </cell>
          <cell r="D465">
            <v>0</v>
          </cell>
          <cell r="E465">
            <v>3</v>
          </cell>
          <cell r="F465">
            <v>2.5000000000000001E-2</v>
          </cell>
        </row>
        <row r="466">
          <cell r="A466" t="str">
            <v>18.1.0.A</v>
          </cell>
          <cell r="B466">
            <v>18</v>
          </cell>
          <cell r="C466">
            <v>1</v>
          </cell>
          <cell r="D466">
            <v>0</v>
          </cell>
          <cell r="E466" t="str">
            <v>A</v>
          </cell>
          <cell r="F466">
            <v>2.5000000000000001E-2</v>
          </cell>
        </row>
        <row r="467">
          <cell r="A467" t="str">
            <v>18.3.0.A</v>
          </cell>
          <cell r="B467">
            <v>18</v>
          </cell>
          <cell r="C467">
            <v>3</v>
          </cell>
          <cell r="D467">
            <v>0</v>
          </cell>
          <cell r="E467" t="str">
            <v>A</v>
          </cell>
          <cell r="F467">
            <v>2.5000000000000001E-2</v>
          </cell>
        </row>
        <row r="468">
          <cell r="A468" t="str">
            <v>18.71.0.B</v>
          </cell>
          <cell r="B468">
            <v>18</v>
          </cell>
          <cell r="C468">
            <v>71</v>
          </cell>
          <cell r="D468">
            <v>0</v>
          </cell>
          <cell r="E468" t="str">
            <v>B</v>
          </cell>
          <cell r="F468">
            <v>2.5000000000000001E-2</v>
          </cell>
        </row>
        <row r="469">
          <cell r="A469" t="str">
            <v>18.1.0.I</v>
          </cell>
          <cell r="B469">
            <v>18</v>
          </cell>
          <cell r="C469">
            <v>1</v>
          </cell>
          <cell r="D469">
            <v>0</v>
          </cell>
          <cell r="E469" t="str">
            <v>I</v>
          </cell>
          <cell r="F469">
            <v>2.5000000000000001E-2</v>
          </cell>
        </row>
        <row r="470">
          <cell r="A470" t="str">
            <v>18.1.0.N</v>
          </cell>
          <cell r="B470">
            <v>18</v>
          </cell>
          <cell r="C470">
            <v>1</v>
          </cell>
          <cell r="D470">
            <v>0</v>
          </cell>
          <cell r="E470" t="str">
            <v>N</v>
          </cell>
          <cell r="F470">
            <v>2.5000000000000001E-2</v>
          </cell>
        </row>
        <row r="471">
          <cell r="A471" t="str">
            <v>18.7U.0.N</v>
          </cell>
          <cell r="B471">
            <v>18</v>
          </cell>
          <cell r="C471" t="str">
            <v>7U</v>
          </cell>
          <cell r="D471">
            <v>0</v>
          </cell>
          <cell r="E471" t="str">
            <v>N</v>
          </cell>
          <cell r="F471">
            <v>2.5000000000000001E-2</v>
          </cell>
        </row>
        <row r="472">
          <cell r="A472" t="str">
            <v>18.1.98.0</v>
          </cell>
          <cell r="B472">
            <v>18</v>
          </cell>
          <cell r="C472">
            <v>1</v>
          </cell>
          <cell r="D472">
            <v>98</v>
          </cell>
          <cell r="E472">
            <v>0</v>
          </cell>
          <cell r="F472">
            <v>0</v>
          </cell>
        </row>
        <row r="473">
          <cell r="A473" t="str">
            <v>18.1.98.A</v>
          </cell>
          <cell r="B473">
            <v>18</v>
          </cell>
          <cell r="C473">
            <v>1</v>
          </cell>
          <cell r="D473">
            <v>98</v>
          </cell>
          <cell r="E473" t="str">
            <v>A</v>
          </cell>
          <cell r="F473">
            <v>0</v>
          </cell>
        </row>
        <row r="474">
          <cell r="A474" t="str">
            <v>19.1.0.0</v>
          </cell>
          <cell r="B474">
            <v>19</v>
          </cell>
          <cell r="C474">
            <v>1</v>
          </cell>
          <cell r="D474">
            <v>0</v>
          </cell>
          <cell r="E474">
            <v>0</v>
          </cell>
          <cell r="F474">
            <v>3.3300000000000003E-2</v>
          </cell>
        </row>
        <row r="475">
          <cell r="A475" t="str">
            <v>19.1.0.1</v>
          </cell>
          <cell r="B475">
            <v>19</v>
          </cell>
          <cell r="C475">
            <v>1</v>
          </cell>
          <cell r="D475">
            <v>0</v>
          </cell>
          <cell r="E475">
            <v>1</v>
          </cell>
          <cell r="F475">
            <v>3.3300000000000003E-2</v>
          </cell>
        </row>
        <row r="476">
          <cell r="A476" t="str">
            <v>19.1.0.2</v>
          </cell>
          <cell r="B476">
            <v>19</v>
          </cell>
          <cell r="C476">
            <v>1</v>
          </cell>
          <cell r="D476">
            <v>0</v>
          </cell>
          <cell r="E476">
            <v>2</v>
          </cell>
          <cell r="F476">
            <v>3.3300000000000003E-2</v>
          </cell>
        </row>
        <row r="477">
          <cell r="A477" t="str">
            <v>19.1.0.3</v>
          </cell>
          <cell r="B477">
            <v>19</v>
          </cell>
          <cell r="C477">
            <v>1</v>
          </cell>
          <cell r="D477">
            <v>0</v>
          </cell>
          <cell r="E477">
            <v>3</v>
          </cell>
          <cell r="F477">
            <v>3.3300000000000003E-2</v>
          </cell>
        </row>
        <row r="478">
          <cell r="A478" t="str">
            <v>19.71.0.3</v>
          </cell>
          <cell r="B478">
            <v>19</v>
          </cell>
          <cell r="C478">
            <v>71</v>
          </cell>
          <cell r="D478">
            <v>0</v>
          </cell>
          <cell r="E478">
            <v>3</v>
          </cell>
          <cell r="F478">
            <v>3.3300000000000003E-2</v>
          </cell>
        </row>
        <row r="479">
          <cell r="A479" t="str">
            <v>19.1.0.A</v>
          </cell>
          <cell r="B479">
            <v>19</v>
          </cell>
          <cell r="C479">
            <v>1</v>
          </cell>
          <cell r="D479">
            <v>0</v>
          </cell>
          <cell r="E479" t="str">
            <v>A</v>
          </cell>
          <cell r="F479">
            <v>3.3300000000000003E-2</v>
          </cell>
        </row>
        <row r="480">
          <cell r="A480" t="str">
            <v>19.71.0.B</v>
          </cell>
          <cell r="B480">
            <v>19</v>
          </cell>
          <cell r="C480">
            <v>71</v>
          </cell>
          <cell r="D480">
            <v>0</v>
          </cell>
          <cell r="E480" t="str">
            <v>B</v>
          </cell>
          <cell r="F480">
            <v>3.3300000000000003E-2</v>
          </cell>
        </row>
        <row r="481">
          <cell r="A481" t="str">
            <v>19.1.0.C</v>
          </cell>
          <cell r="B481">
            <v>19</v>
          </cell>
          <cell r="C481">
            <v>1</v>
          </cell>
          <cell r="D481">
            <v>0</v>
          </cell>
          <cell r="E481" t="str">
            <v>C</v>
          </cell>
          <cell r="F481">
            <v>3.3300000000000003E-2</v>
          </cell>
        </row>
        <row r="482">
          <cell r="A482" t="str">
            <v>19.1.0.I</v>
          </cell>
          <cell r="B482">
            <v>19</v>
          </cell>
          <cell r="C482">
            <v>1</v>
          </cell>
          <cell r="D482">
            <v>0</v>
          </cell>
          <cell r="E482" t="str">
            <v>I</v>
          </cell>
          <cell r="F482">
            <v>3.3300000000000003E-2</v>
          </cell>
        </row>
        <row r="483">
          <cell r="A483" t="str">
            <v>19.1.0.N</v>
          </cell>
          <cell r="B483">
            <v>19</v>
          </cell>
          <cell r="C483">
            <v>1</v>
          </cell>
          <cell r="D483">
            <v>0</v>
          </cell>
          <cell r="E483" t="str">
            <v>N</v>
          </cell>
          <cell r="F483">
            <v>3.3300000000000003E-2</v>
          </cell>
        </row>
        <row r="484">
          <cell r="A484" t="str">
            <v>19.0E.0.N</v>
          </cell>
          <cell r="B484">
            <v>19</v>
          </cell>
          <cell r="C484" t="str">
            <v>0E</v>
          </cell>
          <cell r="D484">
            <v>0</v>
          </cell>
          <cell r="E484" t="str">
            <v>N</v>
          </cell>
          <cell r="F484">
            <v>3.3300000000000003E-2</v>
          </cell>
        </row>
        <row r="485">
          <cell r="A485" t="str">
            <v>19.0M.0.N</v>
          </cell>
          <cell r="B485">
            <v>19</v>
          </cell>
          <cell r="C485" t="str">
            <v>0M</v>
          </cell>
          <cell r="D485">
            <v>0</v>
          </cell>
          <cell r="E485" t="str">
            <v>N</v>
          </cell>
          <cell r="F485">
            <v>3.3300000000000003E-2</v>
          </cell>
        </row>
        <row r="486">
          <cell r="A486" t="str">
            <v>19.14.0.N</v>
          </cell>
          <cell r="B486">
            <v>19</v>
          </cell>
          <cell r="C486">
            <v>14</v>
          </cell>
          <cell r="D486">
            <v>0</v>
          </cell>
          <cell r="E486" t="str">
            <v>N</v>
          </cell>
          <cell r="F486">
            <v>3.3300000000000003E-2</v>
          </cell>
        </row>
        <row r="487">
          <cell r="A487" t="str">
            <v>19.7P.0.N</v>
          </cell>
          <cell r="B487">
            <v>19</v>
          </cell>
          <cell r="C487" t="str">
            <v>7P</v>
          </cell>
          <cell r="D487">
            <v>0</v>
          </cell>
          <cell r="E487" t="str">
            <v>N</v>
          </cell>
          <cell r="F487">
            <v>3.3300000000000003E-2</v>
          </cell>
        </row>
        <row r="488">
          <cell r="A488" t="str">
            <v>19.7U.0.N</v>
          </cell>
          <cell r="B488">
            <v>19</v>
          </cell>
          <cell r="C488" t="str">
            <v>7U</v>
          </cell>
          <cell r="D488">
            <v>0</v>
          </cell>
          <cell r="E488" t="str">
            <v>N</v>
          </cell>
          <cell r="F488">
            <v>3.3300000000000003E-2</v>
          </cell>
        </row>
        <row r="489">
          <cell r="A489" t="str">
            <v>19.1.98.0</v>
          </cell>
          <cell r="B489">
            <v>19</v>
          </cell>
          <cell r="C489">
            <v>1</v>
          </cell>
          <cell r="D489">
            <v>98</v>
          </cell>
          <cell r="E489">
            <v>0</v>
          </cell>
          <cell r="F489">
            <v>0</v>
          </cell>
        </row>
        <row r="490">
          <cell r="A490" t="str">
            <v>19.1.98.A</v>
          </cell>
          <cell r="B490">
            <v>19</v>
          </cell>
          <cell r="C490">
            <v>1</v>
          </cell>
          <cell r="D490">
            <v>98</v>
          </cell>
          <cell r="E490" t="str">
            <v>A</v>
          </cell>
          <cell r="F490">
            <v>0</v>
          </cell>
        </row>
        <row r="491">
          <cell r="A491" t="str">
            <v>20.1.1X.0</v>
          </cell>
          <cell r="B491">
            <v>20</v>
          </cell>
          <cell r="C491">
            <v>1</v>
          </cell>
          <cell r="D491" t="str">
            <v>1X</v>
          </cell>
          <cell r="E491">
            <v>0</v>
          </cell>
          <cell r="F491">
            <v>2.0400000000000001E-2</v>
          </cell>
        </row>
        <row r="492">
          <cell r="A492" t="str">
            <v>20.12.1X.0</v>
          </cell>
          <cell r="B492">
            <v>20</v>
          </cell>
          <cell r="C492">
            <v>12</v>
          </cell>
          <cell r="D492" t="str">
            <v>1X</v>
          </cell>
          <cell r="E492">
            <v>0</v>
          </cell>
          <cell r="F492">
            <v>2.0400000000000001E-2</v>
          </cell>
        </row>
        <row r="493">
          <cell r="A493" t="str">
            <v>20.1.1X.1</v>
          </cell>
          <cell r="B493">
            <v>20</v>
          </cell>
          <cell r="C493">
            <v>1</v>
          </cell>
          <cell r="D493" t="str">
            <v>1X</v>
          </cell>
          <cell r="E493">
            <v>1</v>
          </cell>
          <cell r="F493">
            <v>2.0400000000000001E-2</v>
          </cell>
        </row>
        <row r="494">
          <cell r="A494" t="str">
            <v>20.1.1X.2</v>
          </cell>
          <cell r="B494">
            <v>20</v>
          </cell>
          <cell r="C494">
            <v>1</v>
          </cell>
          <cell r="D494" t="str">
            <v>1X</v>
          </cell>
          <cell r="E494">
            <v>2</v>
          </cell>
          <cell r="F494">
            <v>2.0400000000000001E-2</v>
          </cell>
        </row>
        <row r="495">
          <cell r="A495" t="str">
            <v>20.1.1X.3</v>
          </cell>
          <cell r="B495">
            <v>20</v>
          </cell>
          <cell r="C495">
            <v>1</v>
          </cell>
          <cell r="D495" t="str">
            <v>1X</v>
          </cell>
          <cell r="E495">
            <v>3</v>
          </cell>
          <cell r="F495">
            <v>2.0400000000000001E-2</v>
          </cell>
        </row>
        <row r="496">
          <cell r="A496" t="str">
            <v>20.71.1X.3</v>
          </cell>
          <cell r="B496">
            <v>20</v>
          </cell>
          <cell r="C496">
            <v>71</v>
          </cell>
          <cell r="D496" t="str">
            <v>1X</v>
          </cell>
          <cell r="E496">
            <v>3</v>
          </cell>
          <cell r="F496">
            <v>2.0400000000000001E-2</v>
          </cell>
        </row>
        <row r="497">
          <cell r="A497" t="str">
            <v>20.1.1X.A</v>
          </cell>
          <cell r="B497">
            <v>20</v>
          </cell>
          <cell r="C497">
            <v>1</v>
          </cell>
          <cell r="D497" t="str">
            <v>1X</v>
          </cell>
          <cell r="E497" t="str">
            <v>A</v>
          </cell>
          <cell r="F497">
            <v>2.0400000000000001E-2</v>
          </cell>
        </row>
        <row r="498">
          <cell r="A498" t="str">
            <v>20.71.1X.B</v>
          </cell>
          <cell r="B498">
            <v>20</v>
          </cell>
          <cell r="C498">
            <v>71</v>
          </cell>
          <cell r="D498" t="str">
            <v>1X</v>
          </cell>
          <cell r="E498" t="str">
            <v>B</v>
          </cell>
          <cell r="F498">
            <v>2.0400000000000001E-2</v>
          </cell>
        </row>
        <row r="499">
          <cell r="A499" t="str">
            <v>20.1.1X.I</v>
          </cell>
          <cell r="B499">
            <v>20</v>
          </cell>
          <cell r="C499">
            <v>1</v>
          </cell>
          <cell r="D499" t="str">
            <v>1X</v>
          </cell>
          <cell r="E499" t="str">
            <v>I</v>
          </cell>
          <cell r="F499">
            <v>2.0400000000000001E-2</v>
          </cell>
        </row>
        <row r="500">
          <cell r="A500" t="str">
            <v>20.1.1X.N</v>
          </cell>
          <cell r="B500">
            <v>20</v>
          </cell>
          <cell r="C500">
            <v>1</v>
          </cell>
          <cell r="D500" t="str">
            <v>1X</v>
          </cell>
          <cell r="E500" t="str">
            <v>N</v>
          </cell>
          <cell r="F500">
            <v>2.0400000000000001E-2</v>
          </cell>
        </row>
        <row r="501">
          <cell r="A501" t="str">
            <v>20.0B.1X.N</v>
          </cell>
          <cell r="B501">
            <v>20</v>
          </cell>
          <cell r="C501" t="str">
            <v>0B</v>
          </cell>
          <cell r="D501" t="str">
            <v>1X</v>
          </cell>
          <cell r="E501" t="str">
            <v>N</v>
          </cell>
          <cell r="F501">
            <v>2.0400000000000001E-2</v>
          </cell>
        </row>
        <row r="502">
          <cell r="A502" t="str">
            <v>20.0E.1X.N</v>
          </cell>
          <cell r="B502">
            <v>20</v>
          </cell>
          <cell r="C502" t="str">
            <v>0E</v>
          </cell>
          <cell r="D502" t="str">
            <v>1X</v>
          </cell>
          <cell r="E502" t="str">
            <v>N</v>
          </cell>
          <cell r="F502">
            <v>2.0400000000000001E-2</v>
          </cell>
        </row>
        <row r="503">
          <cell r="A503" t="str">
            <v>20.0M.1X.N</v>
          </cell>
          <cell r="B503">
            <v>20</v>
          </cell>
          <cell r="C503" t="str">
            <v>0M</v>
          </cell>
          <cell r="D503" t="str">
            <v>1X</v>
          </cell>
          <cell r="E503" t="str">
            <v>N</v>
          </cell>
          <cell r="F503">
            <v>2.0400000000000001E-2</v>
          </cell>
        </row>
        <row r="504">
          <cell r="A504" t="str">
            <v>20.0U.1X.N</v>
          </cell>
          <cell r="B504">
            <v>20</v>
          </cell>
          <cell r="C504" t="str">
            <v>0U</v>
          </cell>
          <cell r="D504" t="str">
            <v>1X</v>
          </cell>
          <cell r="E504" t="str">
            <v>N</v>
          </cell>
          <cell r="F504">
            <v>2.0400000000000001E-2</v>
          </cell>
        </row>
        <row r="505">
          <cell r="A505" t="str">
            <v>20.12.1X.N</v>
          </cell>
          <cell r="B505">
            <v>20</v>
          </cell>
          <cell r="C505">
            <v>12</v>
          </cell>
          <cell r="D505" t="str">
            <v>1X</v>
          </cell>
          <cell r="E505" t="str">
            <v>N</v>
          </cell>
          <cell r="F505">
            <v>2.0400000000000001E-2</v>
          </cell>
        </row>
        <row r="506">
          <cell r="A506" t="str">
            <v>20.7P.1X.N</v>
          </cell>
          <cell r="B506">
            <v>20</v>
          </cell>
          <cell r="C506" t="str">
            <v>7P</v>
          </cell>
          <cell r="D506" t="str">
            <v>1X</v>
          </cell>
          <cell r="E506" t="str">
            <v>N</v>
          </cell>
          <cell r="F506">
            <v>2.0400000000000001E-2</v>
          </cell>
        </row>
        <row r="507">
          <cell r="A507" t="str">
            <v>20.7U.1X.N</v>
          </cell>
          <cell r="B507">
            <v>20</v>
          </cell>
          <cell r="C507" t="str">
            <v>7U</v>
          </cell>
          <cell r="D507" t="str">
            <v>1X</v>
          </cell>
          <cell r="E507" t="str">
            <v>N</v>
          </cell>
          <cell r="F507">
            <v>2.0400000000000001E-2</v>
          </cell>
        </row>
        <row r="508">
          <cell r="A508" t="str">
            <v>20.1.3X.0</v>
          </cell>
          <cell r="B508">
            <v>20</v>
          </cell>
          <cell r="C508">
            <v>1</v>
          </cell>
          <cell r="D508" t="str">
            <v>3X</v>
          </cell>
          <cell r="E508">
            <v>0</v>
          </cell>
          <cell r="F508">
            <v>2.0400000000000001E-2</v>
          </cell>
        </row>
        <row r="509">
          <cell r="A509" t="str">
            <v>20.1.3X.A</v>
          </cell>
          <cell r="B509">
            <v>20</v>
          </cell>
          <cell r="C509">
            <v>1</v>
          </cell>
          <cell r="D509" t="str">
            <v>3X</v>
          </cell>
          <cell r="E509" t="str">
            <v>A</v>
          </cell>
          <cell r="F509">
            <v>2.0400000000000001E-2</v>
          </cell>
        </row>
        <row r="510">
          <cell r="A510" t="str">
            <v>20.1.9X.0</v>
          </cell>
          <cell r="B510">
            <v>20</v>
          </cell>
          <cell r="C510">
            <v>1</v>
          </cell>
          <cell r="D510" t="str">
            <v>9X</v>
          </cell>
          <cell r="E510">
            <v>0</v>
          </cell>
          <cell r="F510">
            <v>0</v>
          </cell>
        </row>
        <row r="511">
          <cell r="A511" t="str">
            <v>20.1.9X.A</v>
          </cell>
          <cell r="B511">
            <v>20</v>
          </cell>
          <cell r="C511">
            <v>1</v>
          </cell>
          <cell r="D511" t="str">
            <v>9X</v>
          </cell>
          <cell r="E511" t="str">
            <v>A</v>
          </cell>
          <cell r="F511">
            <v>0</v>
          </cell>
        </row>
        <row r="512">
          <cell r="A512" t="str">
            <v>23.1.0.0</v>
          </cell>
          <cell r="B512">
            <v>23</v>
          </cell>
          <cell r="C512">
            <v>1</v>
          </cell>
          <cell r="D512">
            <v>0</v>
          </cell>
          <cell r="E512">
            <v>0</v>
          </cell>
          <cell r="F512">
            <v>0.02</v>
          </cell>
        </row>
        <row r="513">
          <cell r="A513" t="str">
            <v>23.71.0.3</v>
          </cell>
          <cell r="B513">
            <v>23</v>
          </cell>
          <cell r="C513">
            <v>71</v>
          </cell>
          <cell r="D513">
            <v>0</v>
          </cell>
          <cell r="E513">
            <v>3</v>
          </cell>
          <cell r="F513">
            <v>0.02</v>
          </cell>
        </row>
        <row r="514">
          <cell r="A514" t="str">
            <v>23.1.0.A</v>
          </cell>
          <cell r="B514">
            <v>23</v>
          </cell>
          <cell r="C514">
            <v>1</v>
          </cell>
          <cell r="D514">
            <v>0</v>
          </cell>
          <cell r="E514" t="str">
            <v>A</v>
          </cell>
          <cell r="F514">
            <v>0.02</v>
          </cell>
        </row>
        <row r="515">
          <cell r="A515" t="str">
            <v>23.71.0.B</v>
          </cell>
          <cell r="B515">
            <v>23</v>
          </cell>
          <cell r="C515">
            <v>71</v>
          </cell>
          <cell r="D515">
            <v>0</v>
          </cell>
          <cell r="E515" t="str">
            <v>B</v>
          </cell>
          <cell r="F515">
            <v>0.02</v>
          </cell>
        </row>
        <row r="516">
          <cell r="A516" t="str">
            <v>23.1.0.I</v>
          </cell>
          <cell r="B516">
            <v>23</v>
          </cell>
          <cell r="C516">
            <v>1</v>
          </cell>
          <cell r="D516">
            <v>0</v>
          </cell>
          <cell r="E516" t="str">
            <v>I</v>
          </cell>
          <cell r="F516">
            <v>0.02</v>
          </cell>
        </row>
        <row r="517">
          <cell r="A517" t="str">
            <v>23.1.0.N</v>
          </cell>
          <cell r="B517">
            <v>23</v>
          </cell>
          <cell r="C517">
            <v>1</v>
          </cell>
          <cell r="D517">
            <v>0</v>
          </cell>
          <cell r="E517" t="str">
            <v>N</v>
          </cell>
          <cell r="F517">
            <v>0.02</v>
          </cell>
        </row>
        <row r="518">
          <cell r="A518" t="str">
            <v>23.0E.0.N</v>
          </cell>
          <cell r="B518">
            <v>23</v>
          </cell>
          <cell r="C518" t="str">
            <v>0E</v>
          </cell>
          <cell r="D518">
            <v>0</v>
          </cell>
          <cell r="E518" t="str">
            <v>N</v>
          </cell>
          <cell r="F518">
            <v>0.02</v>
          </cell>
        </row>
        <row r="519">
          <cell r="A519" t="str">
            <v>23.0V.0.N</v>
          </cell>
          <cell r="B519">
            <v>23</v>
          </cell>
          <cell r="C519" t="str">
            <v>0V</v>
          </cell>
          <cell r="D519">
            <v>0</v>
          </cell>
          <cell r="E519" t="str">
            <v>N</v>
          </cell>
          <cell r="F519">
            <v>0.02</v>
          </cell>
        </row>
        <row r="520">
          <cell r="A520" t="str">
            <v>23.1.98.0</v>
          </cell>
          <cell r="B520">
            <v>23</v>
          </cell>
          <cell r="C520">
            <v>1</v>
          </cell>
          <cell r="D520">
            <v>98</v>
          </cell>
          <cell r="E520">
            <v>0</v>
          </cell>
          <cell r="F520">
            <v>0</v>
          </cell>
        </row>
        <row r="521">
          <cell r="A521" t="str">
            <v>23.1.98.A</v>
          </cell>
          <cell r="B521">
            <v>23</v>
          </cell>
          <cell r="C521">
            <v>1</v>
          </cell>
          <cell r="D521">
            <v>98</v>
          </cell>
          <cell r="E521" t="str">
            <v>A</v>
          </cell>
          <cell r="F521">
            <v>0</v>
          </cell>
        </row>
        <row r="522">
          <cell r="A522" t="str">
            <v>24.1.0.I</v>
          </cell>
          <cell r="B522">
            <v>24</v>
          </cell>
          <cell r="C522">
            <v>1</v>
          </cell>
          <cell r="D522">
            <v>0</v>
          </cell>
          <cell r="E522" t="str">
            <v>I</v>
          </cell>
          <cell r="F522">
            <v>1.67E-2</v>
          </cell>
        </row>
        <row r="523">
          <cell r="A523" t="str">
            <v>24.0V.0.I</v>
          </cell>
          <cell r="B523">
            <v>24</v>
          </cell>
          <cell r="C523" t="str">
            <v>0V</v>
          </cell>
          <cell r="D523">
            <v>0</v>
          </cell>
          <cell r="E523" t="str">
            <v>I</v>
          </cell>
          <cell r="F523">
            <v>1.67E-2</v>
          </cell>
        </row>
        <row r="524">
          <cell r="A524" t="str">
            <v>24.1.0.N</v>
          </cell>
          <cell r="B524">
            <v>24</v>
          </cell>
          <cell r="C524">
            <v>1</v>
          </cell>
          <cell r="D524">
            <v>0</v>
          </cell>
          <cell r="E524" t="str">
            <v>N</v>
          </cell>
          <cell r="F524">
            <v>1.67E-2</v>
          </cell>
        </row>
        <row r="525">
          <cell r="A525" t="str">
            <v>25.1.1X.0</v>
          </cell>
          <cell r="B525">
            <v>25</v>
          </cell>
          <cell r="C525">
            <v>1</v>
          </cell>
          <cell r="D525" t="str">
            <v>1X</v>
          </cell>
          <cell r="E525">
            <v>0</v>
          </cell>
          <cell r="F525">
            <v>2.86E-2</v>
          </cell>
        </row>
        <row r="526">
          <cell r="A526" t="str">
            <v>25.1.1X.3</v>
          </cell>
          <cell r="B526">
            <v>25</v>
          </cell>
          <cell r="C526">
            <v>1</v>
          </cell>
          <cell r="D526" t="str">
            <v>1X</v>
          </cell>
          <cell r="E526">
            <v>3</v>
          </cell>
          <cell r="F526">
            <v>2.86E-2</v>
          </cell>
        </row>
        <row r="527">
          <cell r="A527" t="str">
            <v>25.71.1X.3</v>
          </cell>
          <cell r="B527">
            <v>25</v>
          </cell>
          <cell r="C527">
            <v>71</v>
          </cell>
          <cell r="D527" t="str">
            <v>1X</v>
          </cell>
          <cell r="E527">
            <v>3</v>
          </cell>
          <cell r="F527">
            <v>2.86E-2</v>
          </cell>
        </row>
        <row r="528">
          <cell r="A528" t="str">
            <v>25.1.1X.A</v>
          </cell>
          <cell r="B528">
            <v>25</v>
          </cell>
          <cell r="C528">
            <v>1</v>
          </cell>
          <cell r="D528" t="str">
            <v>1X</v>
          </cell>
          <cell r="E528" t="str">
            <v>A</v>
          </cell>
          <cell r="F528">
            <v>2.86E-2</v>
          </cell>
        </row>
        <row r="529">
          <cell r="A529" t="str">
            <v>25.71.1X.B</v>
          </cell>
          <cell r="B529">
            <v>25</v>
          </cell>
          <cell r="C529">
            <v>71</v>
          </cell>
          <cell r="D529" t="str">
            <v>1X</v>
          </cell>
          <cell r="E529" t="str">
            <v>B</v>
          </cell>
          <cell r="F529">
            <v>2.86E-2</v>
          </cell>
        </row>
        <row r="530">
          <cell r="A530" t="str">
            <v>25.1.1X.I</v>
          </cell>
          <cell r="B530">
            <v>25</v>
          </cell>
          <cell r="C530">
            <v>1</v>
          </cell>
          <cell r="D530" t="str">
            <v>1X</v>
          </cell>
          <cell r="E530" t="str">
            <v>I</v>
          </cell>
          <cell r="F530">
            <v>2.86E-2</v>
          </cell>
        </row>
        <row r="531">
          <cell r="A531" t="str">
            <v>25.1.1X.N</v>
          </cell>
          <cell r="B531">
            <v>25</v>
          </cell>
          <cell r="C531">
            <v>1</v>
          </cell>
          <cell r="D531" t="str">
            <v>1X</v>
          </cell>
          <cell r="E531" t="str">
            <v>N</v>
          </cell>
          <cell r="F531">
            <v>2.86E-2</v>
          </cell>
        </row>
        <row r="532">
          <cell r="A532" t="str">
            <v>25.72.1X.N</v>
          </cell>
          <cell r="B532">
            <v>25</v>
          </cell>
          <cell r="C532">
            <v>72</v>
          </cell>
          <cell r="D532" t="str">
            <v>1X</v>
          </cell>
          <cell r="E532" t="str">
            <v>N</v>
          </cell>
          <cell r="F532">
            <v>2.86E-2</v>
          </cell>
        </row>
        <row r="533">
          <cell r="A533" t="str">
            <v>25.7P.1X.N</v>
          </cell>
          <cell r="B533">
            <v>25</v>
          </cell>
          <cell r="C533" t="str">
            <v>7P</v>
          </cell>
          <cell r="D533" t="str">
            <v>1X</v>
          </cell>
          <cell r="E533" t="str">
            <v>N</v>
          </cell>
          <cell r="F533">
            <v>2.86E-2</v>
          </cell>
        </row>
        <row r="534">
          <cell r="A534" t="str">
            <v>25.7U.1X.N</v>
          </cell>
          <cell r="B534">
            <v>25</v>
          </cell>
          <cell r="C534" t="str">
            <v>7U</v>
          </cell>
          <cell r="D534" t="str">
            <v>1X</v>
          </cell>
          <cell r="E534" t="str">
            <v>N</v>
          </cell>
          <cell r="F534">
            <v>2.86E-2</v>
          </cell>
        </row>
        <row r="535">
          <cell r="A535" t="str">
            <v>25.1.2X.0</v>
          </cell>
          <cell r="B535">
            <v>25</v>
          </cell>
          <cell r="C535">
            <v>1</v>
          </cell>
          <cell r="D535" t="str">
            <v>2X</v>
          </cell>
          <cell r="E535">
            <v>0</v>
          </cell>
          <cell r="F535">
            <v>4.5499999999999999E-2</v>
          </cell>
        </row>
        <row r="536">
          <cell r="A536" t="str">
            <v>25.1.2X.A</v>
          </cell>
          <cell r="B536">
            <v>25</v>
          </cell>
          <cell r="C536">
            <v>1</v>
          </cell>
          <cell r="D536" t="str">
            <v>2X</v>
          </cell>
          <cell r="E536" t="str">
            <v>A</v>
          </cell>
          <cell r="F536">
            <v>4.5499999999999999E-2</v>
          </cell>
        </row>
        <row r="537">
          <cell r="A537" t="str">
            <v>25.1.2X.N</v>
          </cell>
          <cell r="B537">
            <v>25</v>
          </cell>
          <cell r="C537">
            <v>1</v>
          </cell>
          <cell r="D537" t="str">
            <v>2X</v>
          </cell>
          <cell r="E537" t="str">
            <v>N</v>
          </cell>
          <cell r="F537">
            <v>4.5499999999999999E-2</v>
          </cell>
        </row>
        <row r="538">
          <cell r="A538" t="str">
            <v>25.72.2X.N</v>
          </cell>
          <cell r="B538">
            <v>25</v>
          </cell>
          <cell r="C538">
            <v>72</v>
          </cell>
          <cell r="D538" t="str">
            <v>2X</v>
          </cell>
          <cell r="E538" t="str">
            <v>N</v>
          </cell>
          <cell r="F538">
            <v>4.5499999999999999E-2</v>
          </cell>
        </row>
        <row r="539">
          <cell r="A539" t="str">
            <v>25.1.9X.0</v>
          </cell>
          <cell r="B539">
            <v>25</v>
          </cell>
          <cell r="C539">
            <v>1</v>
          </cell>
          <cell r="D539" t="str">
            <v>9X</v>
          </cell>
          <cell r="E539">
            <v>0</v>
          </cell>
          <cell r="F539">
            <v>0</v>
          </cell>
        </row>
        <row r="540">
          <cell r="A540" t="str">
            <v>25.1.9X.A</v>
          </cell>
          <cell r="B540">
            <v>25</v>
          </cell>
          <cell r="C540">
            <v>1</v>
          </cell>
          <cell r="D540" t="str">
            <v>9X</v>
          </cell>
          <cell r="E540" t="str">
            <v>A</v>
          </cell>
          <cell r="F540">
            <v>0</v>
          </cell>
        </row>
        <row r="541">
          <cell r="A541" t="str">
            <v>26.1.1X.0</v>
          </cell>
          <cell r="B541">
            <v>26</v>
          </cell>
          <cell r="C541">
            <v>1</v>
          </cell>
          <cell r="D541" t="str">
            <v>1X</v>
          </cell>
          <cell r="E541">
            <v>0</v>
          </cell>
          <cell r="F541">
            <v>4.3499999999999997E-2</v>
          </cell>
        </row>
        <row r="542">
          <cell r="A542" t="str">
            <v>26.3.1X.0</v>
          </cell>
          <cell r="B542">
            <v>26</v>
          </cell>
          <cell r="C542">
            <v>3</v>
          </cell>
          <cell r="D542" t="str">
            <v>1X</v>
          </cell>
          <cell r="E542">
            <v>0</v>
          </cell>
          <cell r="F542">
            <v>4.3499999999999997E-2</v>
          </cell>
        </row>
        <row r="543">
          <cell r="A543" t="str">
            <v>26.1.1X.1</v>
          </cell>
          <cell r="B543">
            <v>26</v>
          </cell>
          <cell r="C543">
            <v>1</v>
          </cell>
          <cell r="D543" t="str">
            <v>1X</v>
          </cell>
          <cell r="E543">
            <v>1</v>
          </cell>
          <cell r="F543">
            <v>4.3499999999999997E-2</v>
          </cell>
        </row>
        <row r="544">
          <cell r="A544" t="str">
            <v>26.1.1X.2</v>
          </cell>
          <cell r="B544">
            <v>26</v>
          </cell>
          <cell r="C544">
            <v>1</v>
          </cell>
          <cell r="D544" t="str">
            <v>1X</v>
          </cell>
          <cell r="E544">
            <v>2</v>
          </cell>
          <cell r="F544">
            <v>4.3499999999999997E-2</v>
          </cell>
        </row>
        <row r="545">
          <cell r="A545" t="str">
            <v>26.1.1X.3</v>
          </cell>
          <cell r="B545">
            <v>26</v>
          </cell>
          <cell r="C545">
            <v>1</v>
          </cell>
          <cell r="D545" t="str">
            <v>1X</v>
          </cell>
          <cell r="E545">
            <v>3</v>
          </cell>
          <cell r="F545">
            <v>4.3499999999999997E-2</v>
          </cell>
        </row>
        <row r="546">
          <cell r="A546" t="str">
            <v>26.71.1X.3</v>
          </cell>
          <cell r="B546">
            <v>26</v>
          </cell>
          <cell r="C546">
            <v>71</v>
          </cell>
          <cell r="D546" t="str">
            <v>1X</v>
          </cell>
          <cell r="E546">
            <v>3</v>
          </cell>
          <cell r="F546">
            <v>4.3499999999999997E-2</v>
          </cell>
        </row>
        <row r="547">
          <cell r="A547" t="str">
            <v>26.1.1X.A</v>
          </cell>
          <cell r="B547">
            <v>26</v>
          </cell>
          <cell r="C547">
            <v>1</v>
          </cell>
          <cell r="D547" t="str">
            <v>1X</v>
          </cell>
          <cell r="E547" t="str">
            <v>A</v>
          </cell>
          <cell r="F547">
            <v>4.3499999999999997E-2</v>
          </cell>
        </row>
        <row r="548">
          <cell r="A548" t="str">
            <v>26.3.1X.A</v>
          </cell>
          <cell r="B548">
            <v>26</v>
          </cell>
          <cell r="C548">
            <v>3</v>
          </cell>
          <cell r="D548" t="str">
            <v>1X</v>
          </cell>
          <cell r="E548" t="str">
            <v>A</v>
          </cell>
          <cell r="F548">
            <v>4.3499999999999997E-2</v>
          </cell>
        </row>
        <row r="549">
          <cell r="A549" t="str">
            <v>26.14.1X.A</v>
          </cell>
          <cell r="B549">
            <v>26</v>
          </cell>
          <cell r="C549">
            <v>14</v>
          </cell>
          <cell r="D549" t="str">
            <v>1X</v>
          </cell>
          <cell r="E549" t="str">
            <v>A</v>
          </cell>
          <cell r="F549">
            <v>4.3499999999999997E-2</v>
          </cell>
        </row>
        <row r="550">
          <cell r="A550" t="str">
            <v>26.71.1X.B</v>
          </cell>
          <cell r="B550">
            <v>26</v>
          </cell>
          <cell r="C550">
            <v>71</v>
          </cell>
          <cell r="D550" t="str">
            <v>1X</v>
          </cell>
          <cell r="E550" t="str">
            <v>B</v>
          </cell>
          <cell r="F550">
            <v>4.3499999999999997E-2</v>
          </cell>
        </row>
        <row r="551">
          <cell r="A551" t="str">
            <v>26.1.1X.I</v>
          </cell>
          <cell r="B551">
            <v>26</v>
          </cell>
          <cell r="C551">
            <v>1</v>
          </cell>
          <cell r="D551" t="str">
            <v>1X</v>
          </cell>
          <cell r="E551" t="str">
            <v>I</v>
          </cell>
          <cell r="F551">
            <v>4.3499999999999997E-2</v>
          </cell>
        </row>
        <row r="552">
          <cell r="A552" t="str">
            <v>26.14.1X.I</v>
          </cell>
          <cell r="B552">
            <v>26</v>
          </cell>
          <cell r="C552">
            <v>14</v>
          </cell>
          <cell r="D552" t="str">
            <v>1X</v>
          </cell>
          <cell r="E552" t="str">
            <v>I</v>
          </cell>
          <cell r="F552">
            <v>4.3499999999999997E-2</v>
          </cell>
        </row>
        <row r="553">
          <cell r="A553" t="str">
            <v>26.1.1X.N</v>
          </cell>
          <cell r="B553">
            <v>26</v>
          </cell>
          <cell r="C553">
            <v>1</v>
          </cell>
          <cell r="D553" t="str">
            <v>1X</v>
          </cell>
          <cell r="E553" t="str">
            <v>N</v>
          </cell>
          <cell r="F553">
            <v>4.3499999999999997E-2</v>
          </cell>
        </row>
        <row r="554">
          <cell r="A554" t="str">
            <v>26.0B.1X.N</v>
          </cell>
          <cell r="B554">
            <v>26</v>
          </cell>
          <cell r="C554" t="str">
            <v>0B</v>
          </cell>
          <cell r="D554" t="str">
            <v>1X</v>
          </cell>
          <cell r="E554" t="str">
            <v>N</v>
          </cell>
          <cell r="F554">
            <v>4.3499999999999997E-2</v>
          </cell>
        </row>
        <row r="555">
          <cell r="A555" t="str">
            <v>26.0E.1X.N</v>
          </cell>
          <cell r="B555">
            <v>26</v>
          </cell>
          <cell r="C555" t="str">
            <v>0E</v>
          </cell>
          <cell r="D555" t="str">
            <v>1X</v>
          </cell>
          <cell r="E555" t="str">
            <v>N</v>
          </cell>
          <cell r="F555">
            <v>4.3499999999999997E-2</v>
          </cell>
        </row>
        <row r="556">
          <cell r="A556" t="str">
            <v>26.0M.1X.N</v>
          </cell>
          <cell r="B556">
            <v>26</v>
          </cell>
          <cell r="C556" t="str">
            <v>0M</v>
          </cell>
          <cell r="D556" t="str">
            <v>1X</v>
          </cell>
          <cell r="E556" t="str">
            <v>N</v>
          </cell>
          <cell r="F556">
            <v>4.3499999999999997E-2</v>
          </cell>
        </row>
        <row r="557">
          <cell r="A557" t="str">
            <v>26.27.1X.N</v>
          </cell>
          <cell r="B557">
            <v>26</v>
          </cell>
          <cell r="C557">
            <v>27</v>
          </cell>
          <cell r="D557" t="str">
            <v>1X</v>
          </cell>
          <cell r="E557" t="str">
            <v>N</v>
          </cell>
          <cell r="F557">
            <v>4.3499999999999997E-2</v>
          </cell>
        </row>
        <row r="558">
          <cell r="A558" t="str">
            <v>26.72.1X.N</v>
          </cell>
          <cell r="B558">
            <v>26</v>
          </cell>
          <cell r="C558">
            <v>72</v>
          </cell>
          <cell r="D558" t="str">
            <v>1X</v>
          </cell>
          <cell r="E558" t="str">
            <v>N</v>
          </cell>
          <cell r="F558">
            <v>4.3499999999999997E-2</v>
          </cell>
        </row>
        <row r="559">
          <cell r="A559" t="str">
            <v>26.7P.1X.N</v>
          </cell>
          <cell r="B559">
            <v>26</v>
          </cell>
          <cell r="C559" t="str">
            <v>7P</v>
          </cell>
          <cell r="D559" t="str">
            <v>1X</v>
          </cell>
          <cell r="E559" t="str">
            <v>N</v>
          </cell>
          <cell r="F559">
            <v>4.3499999999999997E-2</v>
          </cell>
        </row>
        <row r="560">
          <cell r="A560" t="str">
            <v>26.7U.1X.N</v>
          </cell>
          <cell r="B560">
            <v>26</v>
          </cell>
          <cell r="C560" t="str">
            <v>7U</v>
          </cell>
          <cell r="D560" t="str">
            <v>1X</v>
          </cell>
          <cell r="E560" t="str">
            <v>N</v>
          </cell>
          <cell r="F560">
            <v>4.3499999999999997E-2</v>
          </cell>
        </row>
        <row r="561">
          <cell r="A561" t="str">
            <v>26.1.3X.0</v>
          </cell>
          <cell r="B561">
            <v>26</v>
          </cell>
          <cell r="C561">
            <v>1</v>
          </cell>
          <cell r="D561" t="str">
            <v>3X</v>
          </cell>
          <cell r="E561">
            <v>0</v>
          </cell>
          <cell r="F561">
            <v>7.6899999999999996E-2</v>
          </cell>
        </row>
        <row r="562">
          <cell r="A562" t="str">
            <v>26.1.3X.A</v>
          </cell>
          <cell r="B562">
            <v>26</v>
          </cell>
          <cell r="C562">
            <v>1</v>
          </cell>
          <cell r="D562" t="str">
            <v>3X</v>
          </cell>
          <cell r="E562" t="str">
            <v>A</v>
          </cell>
          <cell r="F562">
            <v>7.6899999999999996E-2</v>
          </cell>
        </row>
        <row r="563">
          <cell r="A563" t="str">
            <v>26.1.3X.N</v>
          </cell>
          <cell r="B563">
            <v>26</v>
          </cell>
          <cell r="C563">
            <v>1</v>
          </cell>
          <cell r="D563" t="str">
            <v>3X</v>
          </cell>
          <cell r="E563" t="str">
            <v>N</v>
          </cell>
          <cell r="F563">
            <v>7.6899999999999996E-2</v>
          </cell>
        </row>
        <row r="564">
          <cell r="A564" t="str">
            <v>26.0B.3X.N</v>
          </cell>
          <cell r="B564">
            <v>26</v>
          </cell>
          <cell r="C564" t="str">
            <v>0B</v>
          </cell>
          <cell r="D564" t="str">
            <v>3X</v>
          </cell>
          <cell r="E564" t="str">
            <v>N</v>
          </cell>
          <cell r="F564">
            <v>7.6899999999999996E-2</v>
          </cell>
        </row>
        <row r="565">
          <cell r="A565" t="str">
            <v>26.0E.3X.N</v>
          </cell>
          <cell r="B565">
            <v>26</v>
          </cell>
          <cell r="C565" t="str">
            <v>0E</v>
          </cell>
          <cell r="D565" t="str">
            <v>3X</v>
          </cell>
          <cell r="E565" t="str">
            <v>N</v>
          </cell>
          <cell r="F565">
            <v>7.6899999999999996E-2</v>
          </cell>
        </row>
        <row r="566">
          <cell r="A566" t="str">
            <v>26.27.3X.N</v>
          </cell>
          <cell r="B566">
            <v>26</v>
          </cell>
          <cell r="C566">
            <v>27</v>
          </cell>
          <cell r="D566" t="str">
            <v>3X</v>
          </cell>
          <cell r="E566" t="str">
            <v>N</v>
          </cell>
          <cell r="F566">
            <v>7.6899999999999996E-2</v>
          </cell>
        </row>
        <row r="567">
          <cell r="A567" t="str">
            <v>26.72.3X.N</v>
          </cell>
          <cell r="B567">
            <v>26</v>
          </cell>
          <cell r="C567">
            <v>72</v>
          </cell>
          <cell r="D567" t="str">
            <v>3X</v>
          </cell>
          <cell r="E567" t="str">
            <v>N</v>
          </cell>
          <cell r="F567">
            <v>7.6899999999999996E-2</v>
          </cell>
        </row>
        <row r="568">
          <cell r="A568" t="str">
            <v>26.7P.3X.N</v>
          </cell>
          <cell r="B568">
            <v>26</v>
          </cell>
          <cell r="C568" t="str">
            <v>7P</v>
          </cell>
          <cell r="D568" t="str">
            <v>3X</v>
          </cell>
          <cell r="E568" t="str">
            <v>N</v>
          </cell>
          <cell r="F568">
            <v>7.6899999999999996E-2</v>
          </cell>
        </row>
        <row r="569">
          <cell r="A569" t="str">
            <v>26.7U.3X.N</v>
          </cell>
          <cell r="B569">
            <v>26</v>
          </cell>
          <cell r="C569" t="str">
            <v>7U</v>
          </cell>
          <cell r="D569" t="str">
            <v>3X</v>
          </cell>
          <cell r="E569" t="str">
            <v>N</v>
          </cell>
          <cell r="F569">
            <v>7.6899999999999996E-2</v>
          </cell>
        </row>
        <row r="570">
          <cell r="A570" t="str">
            <v>26.1.9X.0</v>
          </cell>
          <cell r="B570">
            <v>26</v>
          </cell>
          <cell r="C570">
            <v>1</v>
          </cell>
          <cell r="D570" t="str">
            <v>9X</v>
          </cell>
          <cell r="E570">
            <v>0</v>
          </cell>
          <cell r="F570">
            <v>0</v>
          </cell>
        </row>
        <row r="571">
          <cell r="A571" t="str">
            <v>26.1.9X.A</v>
          </cell>
          <cell r="B571">
            <v>26</v>
          </cell>
          <cell r="C571">
            <v>1</v>
          </cell>
          <cell r="D571" t="str">
            <v>9X</v>
          </cell>
          <cell r="E571" t="str">
            <v>A</v>
          </cell>
          <cell r="F571">
            <v>0</v>
          </cell>
        </row>
        <row r="572">
          <cell r="A572" t="str">
            <v>27.1.1X.0</v>
          </cell>
          <cell r="B572">
            <v>27</v>
          </cell>
          <cell r="C572">
            <v>1</v>
          </cell>
          <cell r="D572" t="str">
            <v>1X</v>
          </cell>
          <cell r="E572">
            <v>0</v>
          </cell>
          <cell r="F572">
            <v>2.9399999999999999E-2</v>
          </cell>
        </row>
        <row r="573">
          <cell r="A573" t="str">
            <v>27.3.1X.0</v>
          </cell>
          <cell r="B573">
            <v>27</v>
          </cell>
          <cell r="C573">
            <v>3</v>
          </cell>
          <cell r="D573" t="str">
            <v>1X</v>
          </cell>
          <cell r="E573">
            <v>0</v>
          </cell>
          <cell r="F573">
            <v>2.9399999999999999E-2</v>
          </cell>
        </row>
        <row r="574">
          <cell r="A574" t="str">
            <v>27.1.1X.1</v>
          </cell>
          <cell r="B574">
            <v>27</v>
          </cell>
          <cell r="C574">
            <v>1</v>
          </cell>
          <cell r="D574" t="str">
            <v>1X</v>
          </cell>
          <cell r="E574">
            <v>1</v>
          </cell>
          <cell r="F574">
            <v>2.9399999999999999E-2</v>
          </cell>
        </row>
        <row r="575">
          <cell r="A575" t="str">
            <v>27.1.1X.2</v>
          </cell>
          <cell r="B575">
            <v>27</v>
          </cell>
          <cell r="C575">
            <v>1</v>
          </cell>
          <cell r="D575" t="str">
            <v>1X</v>
          </cell>
          <cell r="E575">
            <v>2</v>
          </cell>
          <cell r="F575">
            <v>2.9399999999999999E-2</v>
          </cell>
        </row>
        <row r="576">
          <cell r="A576" t="str">
            <v>27.1.1X.3</v>
          </cell>
          <cell r="B576">
            <v>27</v>
          </cell>
          <cell r="C576">
            <v>1</v>
          </cell>
          <cell r="D576" t="str">
            <v>1X</v>
          </cell>
          <cell r="E576">
            <v>3</v>
          </cell>
          <cell r="F576">
            <v>2.9399999999999999E-2</v>
          </cell>
        </row>
        <row r="577">
          <cell r="A577" t="str">
            <v>27.71.1X.3</v>
          </cell>
          <cell r="B577">
            <v>27</v>
          </cell>
          <cell r="C577">
            <v>71</v>
          </cell>
          <cell r="D577" t="str">
            <v>1X</v>
          </cell>
          <cell r="E577">
            <v>3</v>
          </cell>
          <cell r="F577">
            <v>2.9399999999999999E-2</v>
          </cell>
        </row>
        <row r="578">
          <cell r="A578" t="str">
            <v>27.1.1X.A</v>
          </cell>
          <cell r="B578">
            <v>27</v>
          </cell>
          <cell r="C578">
            <v>1</v>
          </cell>
          <cell r="D578" t="str">
            <v>1X</v>
          </cell>
          <cell r="E578" t="str">
            <v>A</v>
          </cell>
          <cell r="F578">
            <v>2.9399999999999999E-2</v>
          </cell>
        </row>
        <row r="579">
          <cell r="A579" t="str">
            <v>27.3.1X.A</v>
          </cell>
          <cell r="B579">
            <v>27</v>
          </cell>
          <cell r="C579">
            <v>3</v>
          </cell>
          <cell r="D579" t="str">
            <v>1X</v>
          </cell>
          <cell r="E579" t="str">
            <v>A</v>
          </cell>
          <cell r="F579">
            <v>2.9399999999999999E-2</v>
          </cell>
        </row>
        <row r="580">
          <cell r="A580" t="str">
            <v>27.71.1X.B</v>
          </cell>
          <cell r="B580">
            <v>27</v>
          </cell>
          <cell r="C580">
            <v>71</v>
          </cell>
          <cell r="D580" t="str">
            <v>1X</v>
          </cell>
          <cell r="E580" t="str">
            <v>B</v>
          </cell>
          <cell r="F580">
            <v>2.9399999999999999E-2</v>
          </cell>
        </row>
        <row r="581">
          <cell r="A581" t="str">
            <v>27.1.1X.I</v>
          </cell>
          <cell r="B581">
            <v>27</v>
          </cell>
          <cell r="C581">
            <v>1</v>
          </cell>
          <cell r="D581" t="str">
            <v>1X</v>
          </cell>
          <cell r="E581" t="str">
            <v>I</v>
          </cell>
          <cell r="F581">
            <v>2.9399999999999999E-2</v>
          </cell>
        </row>
        <row r="582">
          <cell r="A582" t="str">
            <v>27.14.1X.I</v>
          </cell>
          <cell r="B582">
            <v>27</v>
          </cell>
          <cell r="C582">
            <v>14</v>
          </cell>
          <cell r="D582" t="str">
            <v>1X</v>
          </cell>
          <cell r="E582" t="str">
            <v>I</v>
          </cell>
          <cell r="F582">
            <v>2.9399999999999999E-2</v>
          </cell>
        </row>
        <row r="583">
          <cell r="A583" t="str">
            <v>27.1.1X.N</v>
          </cell>
          <cell r="B583">
            <v>27</v>
          </cell>
          <cell r="C583">
            <v>1</v>
          </cell>
          <cell r="D583" t="str">
            <v>1X</v>
          </cell>
          <cell r="E583" t="str">
            <v>N</v>
          </cell>
          <cell r="F583">
            <v>2.9399999999999999E-2</v>
          </cell>
        </row>
        <row r="584">
          <cell r="A584" t="str">
            <v>27.0B.1X.N</v>
          </cell>
          <cell r="B584">
            <v>27</v>
          </cell>
          <cell r="C584" t="str">
            <v>0B</v>
          </cell>
          <cell r="D584" t="str">
            <v>1X</v>
          </cell>
          <cell r="E584" t="str">
            <v>N</v>
          </cell>
          <cell r="F584">
            <v>2.9399999999999999E-2</v>
          </cell>
        </row>
        <row r="585">
          <cell r="A585" t="str">
            <v>27.0E.1X.N</v>
          </cell>
          <cell r="B585">
            <v>27</v>
          </cell>
          <cell r="C585" t="str">
            <v>0E</v>
          </cell>
          <cell r="D585" t="str">
            <v>1X</v>
          </cell>
          <cell r="E585" t="str">
            <v>N</v>
          </cell>
          <cell r="F585">
            <v>2.9399999999999999E-2</v>
          </cell>
        </row>
        <row r="586">
          <cell r="A586" t="str">
            <v>27.0M.1X.N</v>
          </cell>
          <cell r="B586">
            <v>27</v>
          </cell>
          <cell r="C586" t="str">
            <v>0M</v>
          </cell>
          <cell r="D586" t="str">
            <v>1X</v>
          </cell>
          <cell r="E586" t="str">
            <v>N</v>
          </cell>
          <cell r="F586">
            <v>2.9399999999999999E-2</v>
          </cell>
        </row>
        <row r="587">
          <cell r="A587" t="str">
            <v>27.14.1X.N</v>
          </cell>
          <cell r="B587">
            <v>27</v>
          </cell>
          <cell r="C587">
            <v>14</v>
          </cell>
          <cell r="D587" t="str">
            <v>1X</v>
          </cell>
          <cell r="E587" t="str">
            <v>N</v>
          </cell>
          <cell r="F587">
            <v>2.9399999999999999E-2</v>
          </cell>
        </row>
        <row r="588">
          <cell r="A588" t="str">
            <v>27.72.1X.N</v>
          </cell>
          <cell r="B588">
            <v>27</v>
          </cell>
          <cell r="C588">
            <v>72</v>
          </cell>
          <cell r="D588" t="str">
            <v>1X</v>
          </cell>
          <cell r="E588" t="str">
            <v>N</v>
          </cell>
          <cell r="F588">
            <v>2.9399999999999999E-2</v>
          </cell>
        </row>
        <row r="589">
          <cell r="A589" t="str">
            <v>27.7P.1X.N</v>
          </cell>
          <cell r="B589">
            <v>27</v>
          </cell>
          <cell r="C589" t="str">
            <v>7P</v>
          </cell>
          <cell r="D589" t="str">
            <v>1X</v>
          </cell>
          <cell r="E589" t="str">
            <v>N</v>
          </cell>
          <cell r="F589">
            <v>2.9399999999999999E-2</v>
          </cell>
        </row>
        <row r="590">
          <cell r="A590" t="str">
            <v>27.7U.1X.N</v>
          </cell>
          <cell r="B590">
            <v>27</v>
          </cell>
          <cell r="C590" t="str">
            <v>7U</v>
          </cell>
          <cell r="D590" t="str">
            <v>1X</v>
          </cell>
          <cell r="E590" t="str">
            <v>N</v>
          </cell>
          <cell r="F590">
            <v>2.9399999999999999E-2</v>
          </cell>
        </row>
        <row r="591">
          <cell r="A591" t="str">
            <v>27.1.1X.P</v>
          </cell>
          <cell r="B591">
            <v>27</v>
          </cell>
          <cell r="C591">
            <v>1</v>
          </cell>
          <cell r="D591" t="str">
            <v>1X</v>
          </cell>
          <cell r="E591" t="str">
            <v>P</v>
          </cell>
          <cell r="F591">
            <v>2.9399999999999999E-2</v>
          </cell>
        </row>
        <row r="592">
          <cell r="A592" t="str">
            <v>27.1.3X.0</v>
          </cell>
          <cell r="B592">
            <v>27</v>
          </cell>
          <cell r="C592">
            <v>1</v>
          </cell>
          <cell r="D592" t="str">
            <v>3X</v>
          </cell>
          <cell r="E592">
            <v>0</v>
          </cell>
          <cell r="F592">
            <v>5.0099999999999999E-2</v>
          </cell>
        </row>
        <row r="593">
          <cell r="A593" t="str">
            <v>27.1.3X.A</v>
          </cell>
          <cell r="B593">
            <v>27</v>
          </cell>
          <cell r="C593">
            <v>1</v>
          </cell>
          <cell r="D593" t="str">
            <v>3X</v>
          </cell>
          <cell r="E593" t="str">
            <v>A</v>
          </cell>
          <cell r="F593">
            <v>5.0099999999999999E-2</v>
          </cell>
        </row>
        <row r="594">
          <cell r="A594" t="str">
            <v>27.1.3X.N</v>
          </cell>
          <cell r="B594">
            <v>27</v>
          </cell>
          <cell r="C594">
            <v>1</v>
          </cell>
          <cell r="D594" t="str">
            <v>3X</v>
          </cell>
          <cell r="E594" t="str">
            <v>N</v>
          </cell>
          <cell r="F594">
            <v>5.0099999999999999E-2</v>
          </cell>
        </row>
        <row r="595">
          <cell r="A595" t="str">
            <v>27.72.3X.N</v>
          </cell>
          <cell r="B595">
            <v>27</v>
          </cell>
          <cell r="C595">
            <v>72</v>
          </cell>
          <cell r="D595" t="str">
            <v>3X</v>
          </cell>
          <cell r="E595" t="str">
            <v>N</v>
          </cell>
          <cell r="F595">
            <v>5.0099999999999999E-2</v>
          </cell>
        </row>
        <row r="596">
          <cell r="A596" t="str">
            <v>27.7U.3X.N</v>
          </cell>
          <cell r="B596">
            <v>27</v>
          </cell>
          <cell r="C596" t="str">
            <v>7U</v>
          </cell>
          <cell r="D596" t="str">
            <v>3X</v>
          </cell>
          <cell r="E596" t="str">
            <v>N</v>
          </cell>
          <cell r="F596">
            <v>5.0099999999999999E-2</v>
          </cell>
        </row>
        <row r="597">
          <cell r="A597" t="str">
            <v>27.1.9X.0</v>
          </cell>
          <cell r="B597">
            <v>27</v>
          </cell>
          <cell r="C597">
            <v>1</v>
          </cell>
          <cell r="D597" t="str">
            <v>9X</v>
          </cell>
          <cell r="E597">
            <v>0</v>
          </cell>
          <cell r="F597">
            <v>0</v>
          </cell>
        </row>
        <row r="598">
          <cell r="A598" t="str">
            <v>27.1.9X.A</v>
          </cell>
          <cell r="B598">
            <v>27</v>
          </cell>
          <cell r="C598">
            <v>1</v>
          </cell>
          <cell r="D598" t="str">
            <v>9X</v>
          </cell>
          <cell r="E598" t="str">
            <v>A</v>
          </cell>
          <cell r="F598">
            <v>0</v>
          </cell>
        </row>
        <row r="599">
          <cell r="A599" t="str">
            <v>29.1.0.0</v>
          </cell>
          <cell r="B599">
            <v>29</v>
          </cell>
          <cell r="C599">
            <v>1</v>
          </cell>
          <cell r="D599">
            <v>0</v>
          </cell>
          <cell r="E599">
            <v>0</v>
          </cell>
          <cell r="F599">
            <v>2.9399999999999999E-2</v>
          </cell>
        </row>
        <row r="600">
          <cell r="A600" t="str">
            <v>29.1.0.A</v>
          </cell>
          <cell r="B600">
            <v>29</v>
          </cell>
          <cell r="C600">
            <v>1</v>
          </cell>
          <cell r="D600">
            <v>0</v>
          </cell>
          <cell r="E600" t="str">
            <v>A</v>
          </cell>
          <cell r="F600">
            <v>2.9399999999999999E-2</v>
          </cell>
        </row>
        <row r="601">
          <cell r="A601" t="str">
            <v>29.1.0.I</v>
          </cell>
          <cell r="B601">
            <v>29</v>
          </cell>
          <cell r="C601">
            <v>1</v>
          </cell>
          <cell r="D601">
            <v>0</v>
          </cell>
          <cell r="E601" t="str">
            <v>I</v>
          </cell>
          <cell r="F601">
            <v>2.9399999999999999E-2</v>
          </cell>
        </row>
        <row r="602">
          <cell r="A602" t="str">
            <v>29.1.0.N</v>
          </cell>
          <cell r="B602">
            <v>29</v>
          </cell>
          <cell r="C602">
            <v>1</v>
          </cell>
          <cell r="D602">
            <v>0</v>
          </cell>
          <cell r="E602" t="str">
            <v>N</v>
          </cell>
          <cell r="F602">
            <v>2.9399999999999999E-2</v>
          </cell>
        </row>
        <row r="603">
          <cell r="A603" t="str">
            <v>29.7U.0.N</v>
          </cell>
          <cell r="B603">
            <v>29</v>
          </cell>
          <cell r="C603" t="str">
            <v>7U</v>
          </cell>
          <cell r="D603">
            <v>0</v>
          </cell>
          <cell r="E603" t="str">
            <v>N</v>
          </cell>
          <cell r="F603">
            <v>2.9399999999999999E-2</v>
          </cell>
        </row>
        <row r="604">
          <cell r="A604" t="str">
            <v>29.1.98.0</v>
          </cell>
          <cell r="B604">
            <v>29</v>
          </cell>
          <cell r="C604">
            <v>1</v>
          </cell>
          <cell r="D604">
            <v>98</v>
          </cell>
          <cell r="E604">
            <v>0</v>
          </cell>
          <cell r="F604">
            <v>0</v>
          </cell>
        </row>
        <row r="605">
          <cell r="A605" t="str">
            <v>29.1.98.A</v>
          </cell>
          <cell r="B605">
            <v>29</v>
          </cell>
          <cell r="C605">
            <v>1</v>
          </cell>
          <cell r="D605">
            <v>98</v>
          </cell>
          <cell r="E605" t="str">
            <v>A</v>
          </cell>
          <cell r="F605">
            <v>0</v>
          </cell>
        </row>
        <row r="606">
          <cell r="A606" t="str">
            <v>31.1.0.0</v>
          </cell>
          <cell r="B606">
            <v>31</v>
          </cell>
          <cell r="C606">
            <v>1</v>
          </cell>
          <cell r="D606">
            <v>0</v>
          </cell>
          <cell r="E606">
            <v>0</v>
          </cell>
          <cell r="F606">
            <v>2.3300000000000001E-2</v>
          </cell>
        </row>
        <row r="607">
          <cell r="A607" t="str">
            <v>31.12.0.0</v>
          </cell>
          <cell r="B607">
            <v>31</v>
          </cell>
          <cell r="C607">
            <v>12</v>
          </cell>
          <cell r="D607">
            <v>0</v>
          </cell>
          <cell r="E607">
            <v>0</v>
          </cell>
          <cell r="F607">
            <v>2.3300000000000001E-2</v>
          </cell>
        </row>
        <row r="608">
          <cell r="A608" t="str">
            <v>31.1.0.1</v>
          </cell>
          <cell r="B608">
            <v>31</v>
          </cell>
          <cell r="C608">
            <v>1</v>
          </cell>
          <cell r="D608">
            <v>0</v>
          </cell>
          <cell r="E608">
            <v>1</v>
          </cell>
          <cell r="F608">
            <v>2.3300000000000001E-2</v>
          </cell>
        </row>
        <row r="609">
          <cell r="A609" t="str">
            <v>31.1.0.2</v>
          </cell>
          <cell r="B609">
            <v>31</v>
          </cell>
          <cell r="C609">
            <v>1</v>
          </cell>
          <cell r="D609">
            <v>0</v>
          </cell>
          <cell r="E609">
            <v>2</v>
          </cell>
          <cell r="F609">
            <v>2.3300000000000001E-2</v>
          </cell>
        </row>
        <row r="610">
          <cell r="A610" t="str">
            <v>31.1.0.3</v>
          </cell>
          <cell r="B610">
            <v>31</v>
          </cell>
          <cell r="C610">
            <v>1</v>
          </cell>
          <cell r="D610">
            <v>0</v>
          </cell>
          <cell r="E610">
            <v>3</v>
          </cell>
          <cell r="F610">
            <v>2.3300000000000001E-2</v>
          </cell>
        </row>
        <row r="611">
          <cell r="A611" t="str">
            <v>31.71.0.3</v>
          </cell>
          <cell r="B611">
            <v>31</v>
          </cell>
          <cell r="C611">
            <v>71</v>
          </cell>
          <cell r="D611">
            <v>0</v>
          </cell>
          <cell r="E611">
            <v>3</v>
          </cell>
          <cell r="F611">
            <v>2.3300000000000001E-2</v>
          </cell>
        </row>
        <row r="612">
          <cell r="A612" t="str">
            <v>31.1.0.A</v>
          </cell>
          <cell r="B612">
            <v>31</v>
          </cell>
          <cell r="C612">
            <v>1</v>
          </cell>
          <cell r="D612">
            <v>0</v>
          </cell>
          <cell r="E612" t="str">
            <v>A</v>
          </cell>
          <cell r="F612">
            <v>2.3300000000000001E-2</v>
          </cell>
        </row>
        <row r="613">
          <cell r="A613" t="str">
            <v>31.71.0.B</v>
          </cell>
          <cell r="B613">
            <v>31</v>
          </cell>
          <cell r="C613">
            <v>71</v>
          </cell>
          <cell r="D613">
            <v>0</v>
          </cell>
          <cell r="E613" t="str">
            <v>B</v>
          </cell>
          <cell r="F613">
            <v>2.3300000000000001E-2</v>
          </cell>
        </row>
        <row r="614">
          <cell r="A614" t="str">
            <v>31.1.0.I</v>
          </cell>
          <cell r="B614">
            <v>31</v>
          </cell>
          <cell r="C614">
            <v>1</v>
          </cell>
          <cell r="D614">
            <v>0</v>
          </cell>
          <cell r="E614" t="str">
            <v>I</v>
          </cell>
          <cell r="F614">
            <v>2.3300000000000001E-2</v>
          </cell>
        </row>
        <row r="615">
          <cell r="A615" t="str">
            <v>31.1.0.N</v>
          </cell>
          <cell r="B615">
            <v>31</v>
          </cell>
          <cell r="C615">
            <v>1</v>
          </cell>
          <cell r="D615">
            <v>0</v>
          </cell>
          <cell r="E615" t="str">
            <v>N</v>
          </cell>
          <cell r="F615">
            <v>2.3300000000000001E-2</v>
          </cell>
        </row>
        <row r="616">
          <cell r="A616" t="str">
            <v>31.0B.0.N</v>
          </cell>
          <cell r="B616">
            <v>31</v>
          </cell>
          <cell r="C616" t="str">
            <v>0B</v>
          </cell>
          <cell r="D616">
            <v>0</v>
          </cell>
          <cell r="E616" t="str">
            <v>N</v>
          </cell>
          <cell r="F616">
            <v>2.3300000000000001E-2</v>
          </cell>
        </row>
        <row r="617">
          <cell r="A617" t="str">
            <v>31.0E.0.N</v>
          </cell>
          <cell r="B617">
            <v>31</v>
          </cell>
          <cell r="C617" t="str">
            <v>0E</v>
          </cell>
          <cell r="D617">
            <v>0</v>
          </cell>
          <cell r="E617" t="str">
            <v>N</v>
          </cell>
          <cell r="F617">
            <v>2.3300000000000001E-2</v>
          </cell>
        </row>
        <row r="618">
          <cell r="A618" t="str">
            <v>31.0M.0.N</v>
          </cell>
          <cell r="B618">
            <v>31</v>
          </cell>
          <cell r="C618" t="str">
            <v>0M</v>
          </cell>
          <cell r="D618">
            <v>0</v>
          </cell>
          <cell r="E618" t="str">
            <v>N</v>
          </cell>
          <cell r="F618">
            <v>2.3300000000000001E-2</v>
          </cell>
        </row>
        <row r="619">
          <cell r="A619" t="str">
            <v>31.12.0.N</v>
          </cell>
          <cell r="B619">
            <v>31</v>
          </cell>
          <cell r="C619">
            <v>12</v>
          </cell>
          <cell r="D619">
            <v>0</v>
          </cell>
          <cell r="E619" t="str">
            <v>N</v>
          </cell>
          <cell r="F619">
            <v>2.3300000000000001E-2</v>
          </cell>
        </row>
        <row r="620">
          <cell r="A620" t="str">
            <v>31.7P.0.N</v>
          </cell>
          <cell r="B620">
            <v>31</v>
          </cell>
          <cell r="C620" t="str">
            <v>7P</v>
          </cell>
          <cell r="D620">
            <v>0</v>
          </cell>
          <cell r="E620" t="str">
            <v>N</v>
          </cell>
          <cell r="F620">
            <v>2.3300000000000001E-2</v>
          </cell>
        </row>
        <row r="621">
          <cell r="A621" t="str">
            <v>31.7U.0.N</v>
          </cell>
          <cell r="B621">
            <v>31</v>
          </cell>
          <cell r="C621" t="str">
            <v>7U</v>
          </cell>
          <cell r="D621">
            <v>0</v>
          </cell>
          <cell r="E621" t="str">
            <v>N</v>
          </cell>
          <cell r="F621">
            <v>2.3300000000000001E-2</v>
          </cell>
        </row>
        <row r="622">
          <cell r="A622" t="str">
            <v>31.1.98.0</v>
          </cell>
          <cell r="B622">
            <v>31</v>
          </cell>
          <cell r="C622">
            <v>1</v>
          </cell>
          <cell r="D622">
            <v>98</v>
          </cell>
          <cell r="E622">
            <v>0</v>
          </cell>
          <cell r="F622">
            <v>0</v>
          </cell>
        </row>
        <row r="623">
          <cell r="A623" t="str">
            <v>31.1.98.A</v>
          </cell>
          <cell r="B623">
            <v>31</v>
          </cell>
          <cell r="C623">
            <v>1</v>
          </cell>
          <cell r="D623">
            <v>98</v>
          </cell>
          <cell r="E623" t="str">
            <v>A</v>
          </cell>
          <cell r="F623">
            <v>0</v>
          </cell>
        </row>
        <row r="624">
          <cell r="A624" t="str">
            <v>35.1.0.0</v>
          </cell>
          <cell r="B624">
            <v>35</v>
          </cell>
          <cell r="C624">
            <v>1</v>
          </cell>
          <cell r="D624">
            <v>0</v>
          </cell>
          <cell r="E624">
            <v>0</v>
          </cell>
          <cell r="F624">
            <v>2.86E-2</v>
          </cell>
        </row>
        <row r="625">
          <cell r="A625" t="str">
            <v>35.1.0.A</v>
          </cell>
          <cell r="B625">
            <v>35</v>
          </cell>
          <cell r="C625">
            <v>1</v>
          </cell>
          <cell r="D625">
            <v>0</v>
          </cell>
          <cell r="E625" t="str">
            <v>A</v>
          </cell>
          <cell r="F625">
            <v>2.86E-2</v>
          </cell>
        </row>
        <row r="626">
          <cell r="A626" t="str">
            <v>35.1.0.I</v>
          </cell>
          <cell r="B626">
            <v>35</v>
          </cell>
          <cell r="C626">
            <v>1</v>
          </cell>
          <cell r="D626">
            <v>0</v>
          </cell>
          <cell r="E626" t="str">
            <v>I</v>
          </cell>
          <cell r="F626">
            <v>2.86E-2</v>
          </cell>
        </row>
        <row r="627">
          <cell r="A627" t="str">
            <v>35.1.0.N</v>
          </cell>
          <cell r="B627">
            <v>35</v>
          </cell>
          <cell r="C627">
            <v>1</v>
          </cell>
          <cell r="D627">
            <v>0</v>
          </cell>
          <cell r="E627" t="str">
            <v>N</v>
          </cell>
          <cell r="F627">
            <v>2.86E-2</v>
          </cell>
        </row>
        <row r="628">
          <cell r="A628" t="str">
            <v>35.0B.0.N</v>
          </cell>
          <cell r="B628">
            <v>35</v>
          </cell>
          <cell r="C628" t="str">
            <v>0B</v>
          </cell>
          <cell r="D628">
            <v>0</v>
          </cell>
          <cell r="E628" t="str">
            <v>N</v>
          </cell>
          <cell r="F628">
            <v>2.86E-2</v>
          </cell>
        </row>
        <row r="629">
          <cell r="A629" t="str">
            <v>35.0E.0.N</v>
          </cell>
          <cell r="B629">
            <v>35</v>
          </cell>
          <cell r="C629" t="str">
            <v>0E</v>
          </cell>
          <cell r="D629">
            <v>0</v>
          </cell>
          <cell r="E629" t="str">
            <v>N</v>
          </cell>
          <cell r="F629">
            <v>2.86E-2</v>
          </cell>
        </row>
        <row r="630">
          <cell r="A630" t="str">
            <v>35.0U.0.N</v>
          </cell>
          <cell r="B630">
            <v>35</v>
          </cell>
          <cell r="C630" t="str">
            <v>0U</v>
          </cell>
          <cell r="D630">
            <v>0</v>
          </cell>
          <cell r="E630" t="str">
            <v>N</v>
          </cell>
          <cell r="F630">
            <v>2.86E-2</v>
          </cell>
        </row>
        <row r="631">
          <cell r="A631" t="str">
            <v>35.14.0.N</v>
          </cell>
          <cell r="B631">
            <v>35</v>
          </cell>
          <cell r="C631">
            <v>14</v>
          </cell>
          <cell r="D631">
            <v>0</v>
          </cell>
          <cell r="E631" t="str">
            <v>N</v>
          </cell>
          <cell r="F631">
            <v>2.86E-2</v>
          </cell>
        </row>
        <row r="632">
          <cell r="A632" t="str">
            <v>35.27.0.N</v>
          </cell>
          <cell r="B632">
            <v>35</v>
          </cell>
          <cell r="C632">
            <v>27</v>
          </cell>
          <cell r="D632">
            <v>0</v>
          </cell>
          <cell r="E632" t="str">
            <v>N</v>
          </cell>
          <cell r="F632">
            <v>2.86E-2</v>
          </cell>
        </row>
        <row r="633">
          <cell r="A633" t="str">
            <v>35.72.0.N</v>
          </cell>
          <cell r="B633">
            <v>35</v>
          </cell>
          <cell r="C633">
            <v>72</v>
          </cell>
          <cell r="D633">
            <v>0</v>
          </cell>
          <cell r="E633" t="str">
            <v>N</v>
          </cell>
          <cell r="F633">
            <v>2.86E-2</v>
          </cell>
        </row>
        <row r="634">
          <cell r="A634" t="str">
            <v>35.7P.0.N</v>
          </cell>
          <cell r="B634">
            <v>35</v>
          </cell>
          <cell r="C634" t="str">
            <v>7P</v>
          </cell>
          <cell r="D634">
            <v>0</v>
          </cell>
          <cell r="E634" t="str">
            <v>N</v>
          </cell>
          <cell r="F634">
            <v>2.86E-2</v>
          </cell>
        </row>
        <row r="635">
          <cell r="A635" t="str">
            <v>35.1.98.0</v>
          </cell>
          <cell r="B635">
            <v>35</v>
          </cell>
          <cell r="C635">
            <v>1</v>
          </cell>
          <cell r="D635">
            <v>98</v>
          </cell>
          <cell r="E635">
            <v>0</v>
          </cell>
          <cell r="F635">
            <v>0</v>
          </cell>
        </row>
        <row r="636">
          <cell r="A636" t="str">
            <v>35.1.98.A</v>
          </cell>
          <cell r="B636">
            <v>35</v>
          </cell>
          <cell r="C636">
            <v>1</v>
          </cell>
          <cell r="D636">
            <v>98</v>
          </cell>
          <cell r="E636" t="str">
            <v>A</v>
          </cell>
          <cell r="F636">
            <v>0</v>
          </cell>
        </row>
        <row r="637">
          <cell r="A637" t="str">
            <v>37.1.0.0</v>
          </cell>
          <cell r="B637">
            <v>37</v>
          </cell>
          <cell r="C637">
            <v>1</v>
          </cell>
          <cell r="D637">
            <v>0</v>
          </cell>
          <cell r="E637">
            <v>0</v>
          </cell>
          <cell r="F637">
            <v>6.25E-2</v>
          </cell>
        </row>
        <row r="638">
          <cell r="A638" t="str">
            <v>37.15.0.0</v>
          </cell>
          <cell r="B638">
            <v>37</v>
          </cell>
          <cell r="C638">
            <v>15</v>
          </cell>
          <cell r="D638">
            <v>0</v>
          </cell>
          <cell r="E638">
            <v>0</v>
          </cell>
          <cell r="F638">
            <v>6.25E-2</v>
          </cell>
        </row>
        <row r="639">
          <cell r="A639" t="str">
            <v>37.1.0.A</v>
          </cell>
          <cell r="B639">
            <v>37</v>
          </cell>
          <cell r="C639">
            <v>1</v>
          </cell>
          <cell r="D639">
            <v>0</v>
          </cell>
          <cell r="E639" t="str">
            <v>A</v>
          </cell>
          <cell r="F639">
            <v>6.25E-2</v>
          </cell>
        </row>
        <row r="640">
          <cell r="A640" t="str">
            <v>37.15.0.A</v>
          </cell>
          <cell r="B640">
            <v>37</v>
          </cell>
          <cell r="C640">
            <v>15</v>
          </cell>
          <cell r="D640">
            <v>0</v>
          </cell>
          <cell r="E640" t="str">
            <v>A</v>
          </cell>
          <cell r="F640">
            <v>6.25E-2</v>
          </cell>
        </row>
        <row r="641">
          <cell r="A641" t="str">
            <v>37.1.0.I</v>
          </cell>
          <cell r="B641">
            <v>37</v>
          </cell>
          <cell r="C641">
            <v>1</v>
          </cell>
          <cell r="D641">
            <v>0</v>
          </cell>
          <cell r="E641" t="str">
            <v>I</v>
          </cell>
          <cell r="F641">
            <v>6.25E-2</v>
          </cell>
        </row>
        <row r="642">
          <cell r="A642" t="str">
            <v>37.1.0.N</v>
          </cell>
          <cell r="B642">
            <v>37</v>
          </cell>
          <cell r="C642">
            <v>1</v>
          </cell>
          <cell r="D642">
            <v>0</v>
          </cell>
          <cell r="E642" t="str">
            <v>N</v>
          </cell>
          <cell r="F642">
            <v>6.25E-2</v>
          </cell>
        </row>
        <row r="643">
          <cell r="A643" t="str">
            <v>37.0E.0.N</v>
          </cell>
          <cell r="B643">
            <v>37</v>
          </cell>
          <cell r="C643" t="str">
            <v>0E</v>
          </cell>
          <cell r="D643">
            <v>0</v>
          </cell>
          <cell r="E643" t="str">
            <v>N</v>
          </cell>
          <cell r="F643">
            <v>6.25E-2</v>
          </cell>
        </row>
        <row r="644">
          <cell r="A644" t="str">
            <v>37.0M.0.N</v>
          </cell>
          <cell r="B644">
            <v>37</v>
          </cell>
          <cell r="C644" t="str">
            <v>0M</v>
          </cell>
          <cell r="D644">
            <v>0</v>
          </cell>
          <cell r="E644" t="str">
            <v>N</v>
          </cell>
          <cell r="F644">
            <v>6.25E-2</v>
          </cell>
        </row>
        <row r="645">
          <cell r="A645" t="str">
            <v>37.12.0.N</v>
          </cell>
          <cell r="B645">
            <v>37</v>
          </cell>
          <cell r="C645">
            <v>12</v>
          </cell>
          <cell r="D645">
            <v>0</v>
          </cell>
          <cell r="E645" t="str">
            <v>N</v>
          </cell>
          <cell r="F645">
            <v>6.25E-2</v>
          </cell>
        </row>
        <row r="646">
          <cell r="A646" t="str">
            <v>37.14.0.N</v>
          </cell>
          <cell r="B646">
            <v>37</v>
          </cell>
          <cell r="C646">
            <v>14</v>
          </cell>
          <cell r="D646">
            <v>0</v>
          </cell>
          <cell r="E646" t="str">
            <v>N</v>
          </cell>
          <cell r="F646">
            <v>6.25E-2</v>
          </cell>
        </row>
        <row r="647">
          <cell r="A647" t="str">
            <v>37.7U.0.N</v>
          </cell>
          <cell r="B647">
            <v>37</v>
          </cell>
          <cell r="C647" t="str">
            <v>7U</v>
          </cell>
          <cell r="D647">
            <v>0</v>
          </cell>
          <cell r="E647" t="str">
            <v>N</v>
          </cell>
          <cell r="F647">
            <v>6.25E-2</v>
          </cell>
        </row>
        <row r="648">
          <cell r="A648" t="str">
            <v>37.1.98.0</v>
          </cell>
          <cell r="B648">
            <v>37</v>
          </cell>
          <cell r="C648">
            <v>1</v>
          </cell>
          <cell r="D648">
            <v>98</v>
          </cell>
          <cell r="E648">
            <v>0</v>
          </cell>
          <cell r="F648">
            <v>0</v>
          </cell>
        </row>
        <row r="649">
          <cell r="A649" t="str">
            <v>37.1.98.A</v>
          </cell>
          <cell r="B649">
            <v>37</v>
          </cell>
          <cell r="C649">
            <v>1</v>
          </cell>
          <cell r="D649">
            <v>98</v>
          </cell>
          <cell r="E649" t="str">
            <v>A</v>
          </cell>
          <cell r="F649">
            <v>0</v>
          </cell>
        </row>
        <row r="650">
          <cell r="A650" t="str">
            <v>39.1.10.0</v>
          </cell>
          <cell r="B650">
            <v>39</v>
          </cell>
          <cell r="C650">
            <v>1</v>
          </cell>
          <cell r="D650">
            <v>10</v>
          </cell>
          <cell r="E650">
            <v>0</v>
          </cell>
          <cell r="F650">
            <v>1.9599999999999999E-2</v>
          </cell>
        </row>
        <row r="651">
          <cell r="A651" t="str">
            <v>39.1.10.1</v>
          </cell>
          <cell r="B651">
            <v>39</v>
          </cell>
          <cell r="C651">
            <v>1</v>
          </cell>
          <cell r="D651">
            <v>10</v>
          </cell>
          <cell r="E651">
            <v>1</v>
          </cell>
          <cell r="F651">
            <v>1.9599999999999999E-2</v>
          </cell>
        </row>
        <row r="652">
          <cell r="A652" t="str">
            <v>39.1.10.2</v>
          </cell>
          <cell r="B652">
            <v>39</v>
          </cell>
          <cell r="C652">
            <v>1</v>
          </cell>
          <cell r="D652">
            <v>10</v>
          </cell>
          <cell r="E652">
            <v>2</v>
          </cell>
          <cell r="F652">
            <v>1.9599999999999999E-2</v>
          </cell>
        </row>
        <row r="653">
          <cell r="A653" t="str">
            <v>39.1.10.A</v>
          </cell>
          <cell r="B653">
            <v>39</v>
          </cell>
          <cell r="C653">
            <v>1</v>
          </cell>
          <cell r="D653">
            <v>10</v>
          </cell>
          <cell r="E653" t="str">
            <v>A</v>
          </cell>
          <cell r="F653">
            <v>1.9599999999999999E-2</v>
          </cell>
        </row>
        <row r="654">
          <cell r="A654" t="str">
            <v>39.1.10.I</v>
          </cell>
          <cell r="B654">
            <v>39</v>
          </cell>
          <cell r="C654">
            <v>1</v>
          </cell>
          <cell r="D654">
            <v>10</v>
          </cell>
          <cell r="E654" t="str">
            <v>I</v>
          </cell>
          <cell r="F654">
            <v>1.9599999999999999E-2</v>
          </cell>
        </row>
        <row r="655">
          <cell r="A655" t="str">
            <v>39.1.10.N</v>
          </cell>
          <cell r="B655">
            <v>39</v>
          </cell>
          <cell r="C655">
            <v>1</v>
          </cell>
          <cell r="D655">
            <v>10</v>
          </cell>
          <cell r="E655" t="str">
            <v>N</v>
          </cell>
          <cell r="F655">
            <v>1.9599999999999999E-2</v>
          </cell>
        </row>
        <row r="656">
          <cell r="A656" t="str">
            <v>39.0B.10.N</v>
          </cell>
          <cell r="B656">
            <v>39</v>
          </cell>
          <cell r="C656" t="str">
            <v>0B</v>
          </cell>
          <cell r="D656">
            <v>10</v>
          </cell>
          <cell r="E656" t="str">
            <v>N</v>
          </cell>
          <cell r="F656">
            <v>1.9599999999999999E-2</v>
          </cell>
        </row>
        <row r="657">
          <cell r="A657" t="str">
            <v>39.7U.10.N</v>
          </cell>
          <cell r="B657">
            <v>39</v>
          </cell>
          <cell r="C657" t="str">
            <v>7U</v>
          </cell>
          <cell r="D657">
            <v>10</v>
          </cell>
          <cell r="E657" t="str">
            <v>N</v>
          </cell>
          <cell r="F657">
            <v>1.9599999999999999E-2</v>
          </cell>
        </row>
        <row r="658">
          <cell r="A658" t="str">
            <v>39.1.20.0</v>
          </cell>
          <cell r="B658">
            <v>39</v>
          </cell>
          <cell r="C658">
            <v>1</v>
          </cell>
          <cell r="D658">
            <v>20</v>
          </cell>
          <cell r="E658">
            <v>0</v>
          </cell>
          <cell r="F658">
            <v>1.9599999999999999E-2</v>
          </cell>
        </row>
        <row r="659">
          <cell r="A659" t="str">
            <v>39.3.20.0</v>
          </cell>
          <cell r="B659">
            <v>39</v>
          </cell>
          <cell r="C659">
            <v>3</v>
          </cell>
          <cell r="D659">
            <v>20</v>
          </cell>
          <cell r="E659">
            <v>0</v>
          </cell>
          <cell r="F659">
            <v>1.9599999999999999E-2</v>
          </cell>
        </row>
        <row r="660">
          <cell r="A660" t="str">
            <v>39.18.20.0</v>
          </cell>
          <cell r="B660">
            <v>39</v>
          </cell>
          <cell r="C660">
            <v>18</v>
          </cell>
          <cell r="D660">
            <v>20</v>
          </cell>
          <cell r="E660">
            <v>0</v>
          </cell>
          <cell r="F660">
            <v>1.9599999999999999E-2</v>
          </cell>
        </row>
        <row r="661">
          <cell r="A661" t="str">
            <v>39.1.20.1</v>
          </cell>
          <cell r="B661">
            <v>39</v>
          </cell>
          <cell r="C661">
            <v>1</v>
          </cell>
          <cell r="D661">
            <v>20</v>
          </cell>
          <cell r="E661">
            <v>1</v>
          </cell>
          <cell r="F661">
            <v>1.9599999999999999E-2</v>
          </cell>
        </row>
        <row r="662">
          <cell r="A662" t="str">
            <v>39.1.20.2</v>
          </cell>
          <cell r="B662">
            <v>39</v>
          </cell>
          <cell r="C662">
            <v>1</v>
          </cell>
          <cell r="D662">
            <v>20</v>
          </cell>
          <cell r="E662">
            <v>2</v>
          </cell>
          <cell r="F662">
            <v>1.9599999999999999E-2</v>
          </cell>
        </row>
        <row r="663">
          <cell r="A663" t="str">
            <v>39.1.20.A</v>
          </cell>
          <cell r="B663">
            <v>39</v>
          </cell>
          <cell r="C663">
            <v>1</v>
          </cell>
          <cell r="D663">
            <v>20</v>
          </cell>
          <cell r="E663" t="str">
            <v>A</v>
          </cell>
          <cell r="F663">
            <v>1.9599999999999999E-2</v>
          </cell>
        </row>
        <row r="664">
          <cell r="A664" t="str">
            <v>39.3.20.A</v>
          </cell>
          <cell r="B664">
            <v>39</v>
          </cell>
          <cell r="C664">
            <v>3</v>
          </cell>
          <cell r="D664">
            <v>20</v>
          </cell>
          <cell r="E664" t="str">
            <v>A</v>
          </cell>
          <cell r="F664">
            <v>1.9599999999999999E-2</v>
          </cell>
        </row>
        <row r="665">
          <cell r="A665" t="str">
            <v>39.18.20.A</v>
          </cell>
          <cell r="B665">
            <v>39</v>
          </cell>
          <cell r="C665">
            <v>18</v>
          </cell>
          <cell r="D665">
            <v>20</v>
          </cell>
          <cell r="E665" t="str">
            <v>A</v>
          </cell>
          <cell r="F665">
            <v>1.9599999999999999E-2</v>
          </cell>
        </row>
        <row r="666">
          <cell r="A666" t="str">
            <v>39.1.20.I</v>
          </cell>
          <cell r="B666">
            <v>39</v>
          </cell>
          <cell r="C666">
            <v>1</v>
          </cell>
          <cell r="D666">
            <v>20</v>
          </cell>
          <cell r="E666" t="str">
            <v>I</v>
          </cell>
          <cell r="F666">
            <v>1.9599999999999999E-2</v>
          </cell>
        </row>
        <row r="667">
          <cell r="A667" t="str">
            <v>39.1.20.N</v>
          </cell>
          <cell r="B667">
            <v>39</v>
          </cell>
          <cell r="C667">
            <v>1</v>
          </cell>
          <cell r="D667">
            <v>20</v>
          </cell>
          <cell r="E667" t="str">
            <v>N</v>
          </cell>
          <cell r="F667">
            <v>1.9599999999999999E-2</v>
          </cell>
        </row>
        <row r="668">
          <cell r="A668" t="str">
            <v>39.0E.20.N</v>
          </cell>
          <cell r="B668">
            <v>39</v>
          </cell>
          <cell r="C668" t="str">
            <v>0E</v>
          </cell>
          <cell r="D668">
            <v>20</v>
          </cell>
          <cell r="E668" t="str">
            <v>N</v>
          </cell>
          <cell r="F668">
            <v>1.9599999999999999E-2</v>
          </cell>
        </row>
        <row r="669">
          <cell r="A669" t="str">
            <v>39.0M.20.N</v>
          </cell>
          <cell r="B669">
            <v>39</v>
          </cell>
          <cell r="C669" t="str">
            <v>0M</v>
          </cell>
          <cell r="D669">
            <v>20</v>
          </cell>
          <cell r="E669" t="str">
            <v>N</v>
          </cell>
          <cell r="F669">
            <v>1.9599999999999999E-2</v>
          </cell>
        </row>
        <row r="670">
          <cell r="A670" t="str">
            <v>39.18.20.N</v>
          </cell>
          <cell r="B670">
            <v>39</v>
          </cell>
          <cell r="C670">
            <v>18</v>
          </cell>
          <cell r="D670">
            <v>20</v>
          </cell>
          <cell r="E670" t="str">
            <v>N</v>
          </cell>
          <cell r="F670">
            <v>1.9599999999999999E-2</v>
          </cell>
        </row>
        <row r="671">
          <cell r="A671" t="str">
            <v>39.7P.20.N</v>
          </cell>
          <cell r="B671">
            <v>39</v>
          </cell>
          <cell r="C671" t="str">
            <v>7P</v>
          </cell>
          <cell r="D671">
            <v>20</v>
          </cell>
          <cell r="E671" t="str">
            <v>N</v>
          </cell>
          <cell r="F671">
            <v>1.9599999999999999E-2</v>
          </cell>
        </row>
        <row r="672">
          <cell r="A672" t="str">
            <v>39.7U.20.N</v>
          </cell>
          <cell r="B672">
            <v>39</v>
          </cell>
          <cell r="C672" t="str">
            <v>7U</v>
          </cell>
          <cell r="D672">
            <v>20</v>
          </cell>
          <cell r="E672" t="str">
            <v>N</v>
          </cell>
          <cell r="F672">
            <v>1.9599999999999999E-2</v>
          </cell>
        </row>
        <row r="673">
          <cell r="A673" t="str">
            <v>39.1.30.0</v>
          </cell>
          <cell r="B673">
            <v>39</v>
          </cell>
          <cell r="C673">
            <v>1</v>
          </cell>
          <cell r="D673">
            <v>30</v>
          </cell>
          <cell r="E673">
            <v>0</v>
          </cell>
          <cell r="F673">
            <v>0</v>
          </cell>
        </row>
        <row r="674">
          <cell r="A674" t="str">
            <v>39.1.30.A</v>
          </cell>
          <cell r="B674">
            <v>39</v>
          </cell>
          <cell r="C674">
            <v>1</v>
          </cell>
          <cell r="D674">
            <v>30</v>
          </cell>
          <cell r="E674" t="str">
            <v>A</v>
          </cell>
          <cell r="F674">
            <v>0</v>
          </cell>
        </row>
        <row r="675">
          <cell r="A675" t="str">
            <v>39.1.40.0</v>
          </cell>
          <cell r="B675">
            <v>39</v>
          </cell>
          <cell r="C675">
            <v>1</v>
          </cell>
          <cell r="D675">
            <v>40</v>
          </cell>
          <cell r="E675">
            <v>0</v>
          </cell>
          <cell r="F675">
            <v>1.9599999999999999E-2</v>
          </cell>
        </row>
        <row r="676">
          <cell r="A676" t="str">
            <v>39.15.40.0</v>
          </cell>
          <cell r="B676">
            <v>39</v>
          </cell>
          <cell r="C676">
            <v>15</v>
          </cell>
          <cell r="D676">
            <v>40</v>
          </cell>
          <cell r="E676">
            <v>0</v>
          </cell>
          <cell r="F676">
            <v>1.9599999999999999E-2</v>
          </cell>
        </row>
        <row r="677">
          <cell r="A677" t="str">
            <v>39.1.40.1</v>
          </cell>
          <cell r="B677">
            <v>39</v>
          </cell>
          <cell r="C677">
            <v>1</v>
          </cell>
          <cell r="D677">
            <v>40</v>
          </cell>
          <cell r="E677">
            <v>1</v>
          </cell>
          <cell r="F677">
            <v>1.9599999999999999E-2</v>
          </cell>
        </row>
        <row r="678">
          <cell r="A678" t="str">
            <v>39.1.40.3</v>
          </cell>
          <cell r="B678">
            <v>39</v>
          </cell>
          <cell r="C678">
            <v>1</v>
          </cell>
          <cell r="D678">
            <v>40</v>
          </cell>
          <cell r="E678">
            <v>3</v>
          </cell>
          <cell r="F678">
            <v>1.9599999999999999E-2</v>
          </cell>
        </row>
        <row r="679">
          <cell r="A679" t="str">
            <v>39.71.40.3</v>
          </cell>
          <cell r="B679">
            <v>39</v>
          </cell>
          <cell r="C679">
            <v>71</v>
          </cell>
          <cell r="D679">
            <v>40</v>
          </cell>
          <cell r="E679">
            <v>3</v>
          </cell>
          <cell r="F679">
            <v>1.9599999999999999E-2</v>
          </cell>
        </row>
        <row r="680">
          <cell r="A680" t="str">
            <v>39.1.40.A</v>
          </cell>
          <cell r="B680">
            <v>39</v>
          </cell>
          <cell r="C680">
            <v>1</v>
          </cell>
          <cell r="D680">
            <v>40</v>
          </cell>
          <cell r="E680" t="str">
            <v>A</v>
          </cell>
          <cell r="F680">
            <v>1.9599999999999999E-2</v>
          </cell>
        </row>
        <row r="681">
          <cell r="A681" t="str">
            <v>39.14.40.A</v>
          </cell>
          <cell r="B681">
            <v>39</v>
          </cell>
          <cell r="C681">
            <v>14</v>
          </cell>
          <cell r="D681">
            <v>40</v>
          </cell>
          <cell r="E681" t="str">
            <v>A</v>
          </cell>
          <cell r="F681">
            <v>1.9599999999999999E-2</v>
          </cell>
        </row>
        <row r="682">
          <cell r="A682" t="str">
            <v>39.15.40.A</v>
          </cell>
          <cell r="B682">
            <v>39</v>
          </cell>
          <cell r="C682">
            <v>15</v>
          </cell>
          <cell r="D682">
            <v>40</v>
          </cell>
          <cell r="E682" t="str">
            <v>A</v>
          </cell>
          <cell r="F682">
            <v>1.9599999999999999E-2</v>
          </cell>
        </row>
        <row r="683">
          <cell r="A683" t="str">
            <v>39.71.40.B</v>
          </cell>
          <cell r="B683">
            <v>39</v>
          </cell>
          <cell r="C683">
            <v>71</v>
          </cell>
          <cell r="D683">
            <v>40</v>
          </cell>
          <cell r="E683" t="str">
            <v>B</v>
          </cell>
          <cell r="F683">
            <v>1.9599999999999999E-2</v>
          </cell>
        </row>
        <row r="684">
          <cell r="A684" t="str">
            <v>39.1.40.I</v>
          </cell>
          <cell r="B684">
            <v>39</v>
          </cell>
          <cell r="C684">
            <v>1</v>
          </cell>
          <cell r="D684">
            <v>40</v>
          </cell>
          <cell r="E684" t="str">
            <v>I</v>
          </cell>
          <cell r="F684">
            <v>1.9599999999999999E-2</v>
          </cell>
        </row>
        <row r="685">
          <cell r="A685" t="str">
            <v>39.14.40.I</v>
          </cell>
          <cell r="B685">
            <v>39</v>
          </cell>
          <cell r="C685">
            <v>14</v>
          </cell>
          <cell r="D685">
            <v>40</v>
          </cell>
          <cell r="E685" t="str">
            <v>I</v>
          </cell>
          <cell r="F685">
            <v>1.9599999999999999E-2</v>
          </cell>
        </row>
        <row r="686">
          <cell r="A686" t="str">
            <v>39.1.40.N</v>
          </cell>
          <cell r="B686">
            <v>39</v>
          </cell>
          <cell r="C686">
            <v>1</v>
          </cell>
          <cell r="D686">
            <v>40</v>
          </cell>
          <cell r="E686" t="str">
            <v>N</v>
          </cell>
          <cell r="F686">
            <v>1.9599999999999999E-2</v>
          </cell>
        </row>
        <row r="687">
          <cell r="A687" t="str">
            <v>39.0E.40.N</v>
          </cell>
          <cell r="B687">
            <v>39</v>
          </cell>
          <cell r="C687" t="str">
            <v>0E</v>
          </cell>
          <cell r="D687">
            <v>40</v>
          </cell>
          <cell r="E687" t="str">
            <v>N</v>
          </cell>
          <cell r="F687">
            <v>1.9599999999999999E-2</v>
          </cell>
        </row>
        <row r="688">
          <cell r="A688" t="str">
            <v>39.0X.40.N</v>
          </cell>
          <cell r="B688">
            <v>39</v>
          </cell>
          <cell r="C688" t="str">
            <v>0X</v>
          </cell>
          <cell r="D688">
            <v>40</v>
          </cell>
          <cell r="E688" t="str">
            <v>N</v>
          </cell>
          <cell r="F688">
            <v>1.9599999999999999E-2</v>
          </cell>
        </row>
        <row r="689">
          <cell r="A689" t="str">
            <v>39.14.40.N</v>
          </cell>
          <cell r="B689">
            <v>39</v>
          </cell>
          <cell r="C689">
            <v>14</v>
          </cell>
          <cell r="D689">
            <v>40</v>
          </cell>
          <cell r="E689" t="str">
            <v>N</v>
          </cell>
          <cell r="F689">
            <v>1.9599999999999999E-2</v>
          </cell>
        </row>
        <row r="690">
          <cell r="A690" t="str">
            <v>39.7U.40.N</v>
          </cell>
          <cell r="B690">
            <v>39</v>
          </cell>
          <cell r="C690" t="str">
            <v>7U</v>
          </cell>
          <cell r="D690">
            <v>40</v>
          </cell>
          <cell r="E690" t="str">
            <v>N</v>
          </cell>
          <cell r="F690">
            <v>1.9599999999999999E-2</v>
          </cell>
        </row>
        <row r="691">
          <cell r="A691" t="str">
            <v>39.1.50.0</v>
          </cell>
          <cell r="B691">
            <v>39</v>
          </cell>
          <cell r="C691">
            <v>1</v>
          </cell>
          <cell r="D691">
            <v>50</v>
          </cell>
          <cell r="E691">
            <v>0</v>
          </cell>
          <cell r="F691">
            <v>1.9599999999999999E-2</v>
          </cell>
        </row>
        <row r="692">
          <cell r="A692" t="str">
            <v>39.1.50.A</v>
          </cell>
          <cell r="B692">
            <v>39</v>
          </cell>
          <cell r="C692">
            <v>1</v>
          </cell>
          <cell r="D692">
            <v>50</v>
          </cell>
          <cell r="E692" t="str">
            <v>A</v>
          </cell>
          <cell r="F692">
            <v>1.9599999999999999E-2</v>
          </cell>
        </row>
        <row r="693">
          <cell r="A693" t="str">
            <v>39.1.50.N</v>
          </cell>
          <cell r="B693">
            <v>39</v>
          </cell>
          <cell r="C693">
            <v>1</v>
          </cell>
          <cell r="D693">
            <v>50</v>
          </cell>
          <cell r="E693" t="str">
            <v>N</v>
          </cell>
          <cell r="F693">
            <v>1.9599999999999999E-2</v>
          </cell>
        </row>
        <row r="694">
          <cell r="A694" t="str">
            <v>39.1.81.0</v>
          </cell>
          <cell r="B694">
            <v>39</v>
          </cell>
          <cell r="C694">
            <v>1</v>
          </cell>
          <cell r="D694">
            <v>81</v>
          </cell>
          <cell r="E694">
            <v>0</v>
          </cell>
          <cell r="F694">
            <v>0</v>
          </cell>
        </row>
        <row r="695">
          <cell r="A695" t="str">
            <v>39.1.81.A</v>
          </cell>
          <cell r="B695">
            <v>39</v>
          </cell>
          <cell r="C695">
            <v>1</v>
          </cell>
          <cell r="D695">
            <v>81</v>
          </cell>
          <cell r="E695" t="str">
            <v>A</v>
          </cell>
          <cell r="F695">
            <v>0</v>
          </cell>
        </row>
        <row r="696">
          <cell r="A696" t="str">
            <v>39.1.82.0</v>
          </cell>
          <cell r="B696">
            <v>39</v>
          </cell>
          <cell r="C696">
            <v>1</v>
          </cell>
          <cell r="D696">
            <v>82</v>
          </cell>
          <cell r="E696">
            <v>0</v>
          </cell>
          <cell r="F696">
            <v>0</v>
          </cell>
        </row>
        <row r="697">
          <cell r="A697" t="str">
            <v>39.1.82.A</v>
          </cell>
          <cell r="B697">
            <v>39</v>
          </cell>
          <cell r="C697">
            <v>1</v>
          </cell>
          <cell r="D697">
            <v>82</v>
          </cell>
          <cell r="E697" t="str">
            <v>A</v>
          </cell>
          <cell r="F697">
            <v>0</v>
          </cell>
        </row>
        <row r="698">
          <cell r="A698" t="str">
            <v>39.1.84.0</v>
          </cell>
          <cell r="B698">
            <v>39</v>
          </cell>
          <cell r="C698">
            <v>1</v>
          </cell>
          <cell r="D698">
            <v>84</v>
          </cell>
          <cell r="E698">
            <v>0</v>
          </cell>
          <cell r="F698">
            <v>0</v>
          </cell>
        </row>
        <row r="699">
          <cell r="A699" t="str">
            <v>39.1.84.A</v>
          </cell>
          <cell r="B699">
            <v>39</v>
          </cell>
          <cell r="C699">
            <v>1</v>
          </cell>
          <cell r="D699">
            <v>84</v>
          </cell>
          <cell r="E699" t="str">
            <v>A</v>
          </cell>
          <cell r="F699">
            <v>0</v>
          </cell>
        </row>
        <row r="700">
          <cell r="A700" t="str">
            <v>39.1.85.0</v>
          </cell>
          <cell r="B700">
            <v>39</v>
          </cell>
          <cell r="C700">
            <v>1</v>
          </cell>
          <cell r="D700">
            <v>85</v>
          </cell>
          <cell r="E700">
            <v>0</v>
          </cell>
          <cell r="F700">
            <v>0</v>
          </cell>
        </row>
        <row r="701">
          <cell r="A701" t="str">
            <v>39.1.85.A</v>
          </cell>
          <cell r="B701">
            <v>39</v>
          </cell>
          <cell r="C701">
            <v>1</v>
          </cell>
          <cell r="D701">
            <v>85</v>
          </cell>
          <cell r="E701" t="str">
            <v>A</v>
          </cell>
          <cell r="F701">
            <v>0</v>
          </cell>
        </row>
        <row r="702">
          <cell r="A702" t="str">
            <v>39.1.98.0</v>
          </cell>
          <cell r="B702">
            <v>39</v>
          </cell>
          <cell r="C702">
            <v>1</v>
          </cell>
          <cell r="D702">
            <v>98</v>
          </cell>
          <cell r="E702">
            <v>0</v>
          </cell>
          <cell r="F702">
            <v>0</v>
          </cell>
        </row>
        <row r="703">
          <cell r="A703" t="str">
            <v>39.1.98.A</v>
          </cell>
          <cell r="B703">
            <v>39</v>
          </cell>
          <cell r="C703">
            <v>1</v>
          </cell>
          <cell r="D703">
            <v>98</v>
          </cell>
          <cell r="E703" t="str">
            <v>A</v>
          </cell>
          <cell r="F703">
            <v>0</v>
          </cell>
        </row>
        <row r="704">
          <cell r="A704" t="str">
            <v>44.1.0.0</v>
          </cell>
          <cell r="B704">
            <v>44</v>
          </cell>
          <cell r="C704">
            <v>1</v>
          </cell>
          <cell r="D704">
            <v>0</v>
          </cell>
          <cell r="E704">
            <v>0</v>
          </cell>
          <cell r="F704">
            <v>0.04</v>
          </cell>
        </row>
        <row r="705">
          <cell r="A705" t="str">
            <v>44.1.0.1</v>
          </cell>
          <cell r="B705">
            <v>44</v>
          </cell>
          <cell r="C705">
            <v>1</v>
          </cell>
          <cell r="D705">
            <v>0</v>
          </cell>
          <cell r="E705">
            <v>1</v>
          </cell>
          <cell r="F705">
            <v>0.04</v>
          </cell>
        </row>
        <row r="706">
          <cell r="A706" t="str">
            <v>44.1.0.2</v>
          </cell>
          <cell r="B706">
            <v>44</v>
          </cell>
          <cell r="C706">
            <v>1</v>
          </cell>
          <cell r="D706">
            <v>0</v>
          </cell>
          <cell r="E706">
            <v>2</v>
          </cell>
          <cell r="F706">
            <v>0.04</v>
          </cell>
        </row>
        <row r="707">
          <cell r="A707" t="str">
            <v>44.1.0.A</v>
          </cell>
          <cell r="B707">
            <v>44</v>
          </cell>
          <cell r="C707">
            <v>1</v>
          </cell>
          <cell r="D707">
            <v>0</v>
          </cell>
          <cell r="E707" t="str">
            <v>A</v>
          </cell>
          <cell r="F707">
            <v>0.04</v>
          </cell>
        </row>
        <row r="708">
          <cell r="A708" t="str">
            <v>44.1.0.N</v>
          </cell>
          <cell r="B708">
            <v>44</v>
          </cell>
          <cell r="C708">
            <v>1</v>
          </cell>
          <cell r="D708">
            <v>0</v>
          </cell>
          <cell r="E708" t="str">
            <v>N</v>
          </cell>
          <cell r="F708">
            <v>0.04</v>
          </cell>
        </row>
        <row r="709">
          <cell r="A709" t="str">
            <v>44.0B.0.N</v>
          </cell>
          <cell r="B709">
            <v>44</v>
          </cell>
          <cell r="C709" t="str">
            <v>0B</v>
          </cell>
          <cell r="D709">
            <v>0</v>
          </cell>
          <cell r="E709" t="str">
            <v>N</v>
          </cell>
          <cell r="F709">
            <v>0.04</v>
          </cell>
        </row>
        <row r="710">
          <cell r="A710" t="str">
            <v>44.0E.0.N</v>
          </cell>
          <cell r="B710">
            <v>44</v>
          </cell>
          <cell r="C710" t="str">
            <v>0E</v>
          </cell>
          <cell r="D710">
            <v>0</v>
          </cell>
          <cell r="E710" t="str">
            <v>N</v>
          </cell>
          <cell r="F710">
            <v>0.04</v>
          </cell>
        </row>
        <row r="711">
          <cell r="A711" t="str">
            <v>44.0M.0.N</v>
          </cell>
          <cell r="B711">
            <v>44</v>
          </cell>
          <cell r="C711" t="str">
            <v>0M</v>
          </cell>
          <cell r="D711">
            <v>0</v>
          </cell>
          <cell r="E711" t="str">
            <v>N</v>
          </cell>
          <cell r="F711">
            <v>0.04</v>
          </cell>
        </row>
        <row r="712">
          <cell r="A712" t="str">
            <v>44.0U.0.N</v>
          </cell>
          <cell r="B712">
            <v>44</v>
          </cell>
          <cell r="C712" t="str">
            <v>0U</v>
          </cell>
          <cell r="D712">
            <v>0</v>
          </cell>
          <cell r="E712" t="str">
            <v>N</v>
          </cell>
          <cell r="F712">
            <v>0.04</v>
          </cell>
        </row>
        <row r="713">
          <cell r="A713" t="str">
            <v>44.12.0.N</v>
          </cell>
          <cell r="B713">
            <v>44</v>
          </cell>
          <cell r="C713">
            <v>12</v>
          </cell>
          <cell r="D713">
            <v>0</v>
          </cell>
          <cell r="E713" t="str">
            <v>N</v>
          </cell>
          <cell r="F713">
            <v>0.04</v>
          </cell>
        </row>
        <row r="714">
          <cell r="A714" t="str">
            <v>44.14.0.N</v>
          </cell>
          <cell r="B714">
            <v>44</v>
          </cell>
          <cell r="C714">
            <v>14</v>
          </cell>
          <cell r="D714">
            <v>0</v>
          </cell>
          <cell r="E714" t="str">
            <v>N</v>
          </cell>
          <cell r="F714">
            <v>0.04</v>
          </cell>
        </row>
        <row r="715">
          <cell r="A715" t="str">
            <v>44.7P.0.N</v>
          </cell>
          <cell r="B715">
            <v>44</v>
          </cell>
          <cell r="C715" t="str">
            <v>7P</v>
          </cell>
          <cell r="D715">
            <v>0</v>
          </cell>
          <cell r="E715" t="str">
            <v>N</v>
          </cell>
          <cell r="F715">
            <v>0.04</v>
          </cell>
        </row>
        <row r="716">
          <cell r="A716" t="str">
            <v>44.7U.0.N</v>
          </cell>
          <cell r="B716">
            <v>44</v>
          </cell>
          <cell r="C716" t="str">
            <v>7U</v>
          </cell>
          <cell r="D716">
            <v>0</v>
          </cell>
          <cell r="E716" t="str">
            <v>N</v>
          </cell>
          <cell r="F716">
            <v>0.04</v>
          </cell>
        </row>
        <row r="717">
          <cell r="A717" t="str">
            <v>44.1.98.0</v>
          </cell>
          <cell r="B717">
            <v>44</v>
          </cell>
          <cell r="C717">
            <v>1</v>
          </cell>
          <cell r="D717">
            <v>98</v>
          </cell>
          <cell r="E717">
            <v>0</v>
          </cell>
          <cell r="F717">
            <v>0</v>
          </cell>
        </row>
        <row r="718">
          <cell r="A718" t="str">
            <v>44.1.98.A</v>
          </cell>
          <cell r="B718">
            <v>44</v>
          </cell>
          <cell r="C718">
            <v>1</v>
          </cell>
          <cell r="D718">
            <v>98</v>
          </cell>
          <cell r="E718" t="str">
            <v>A</v>
          </cell>
          <cell r="F718">
            <v>0</v>
          </cell>
        </row>
        <row r="719">
          <cell r="A719" t="str">
            <v>45.1.0.0</v>
          </cell>
          <cell r="B719">
            <v>45</v>
          </cell>
          <cell r="C719">
            <v>1</v>
          </cell>
          <cell r="D719">
            <v>0</v>
          </cell>
          <cell r="E719">
            <v>0</v>
          </cell>
          <cell r="F719">
            <v>4.7600000000000003E-2</v>
          </cell>
        </row>
        <row r="720">
          <cell r="A720" t="str">
            <v>45.1.0.A</v>
          </cell>
          <cell r="B720">
            <v>45</v>
          </cell>
          <cell r="C720">
            <v>1</v>
          </cell>
          <cell r="D720">
            <v>0</v>
          </cell>
          <cell r="E720" t="str">
            <v>A</v>
          </cell>
          <cell r="F720">
            <v>4.7600000000000003E-2</v>
          </cell>
        </row>
        <row r="721">
          <cell r="A721" t="str">
            <v>45.1.0.N</v>
          </cell>
          <cell r="B721">
            <v>45</v>
          </cell>
          <cell r="C721">
            <v>1</v>
          </cell>
          <cell r="D721">
            <v>0</v>
          </cell>
          <cell r="E721" t="str">
            <v>N</v>
          </cell>
          <cell r="F721">
            <v>4.7600000000000003E-2</v>
          </cell>
        </row>
        <row r="722">
          <cell r="A722" t="str">
            <v>45.0B.0.N</v>
          </cell>
          <cell r="B722">
            <v>45</v>
          </cell>
          <cell r="C722" t="str">
            <v>0B</v>
          </cell>
          <cell r="D722">
            <v>0</v>
          </cell>
          <cell r="E722" t="str">
            <v>N</v>
          </cell>
          <cell r="F722">
            <v>4.7600000000000003E-2</v>
          </cell>
        </row>
        <row r="723">
          <cell r="A723" t="str">
            <v>45.7U.0.N</v>
          </cell>
          <cell r="B723">
            <v>45</v>
          </cell>
          <cell r="C723" t="str">
            <v>7U</v>
          </cell>
          <cell r="D723">
            <v>0</v>
          </cell>
          <cell r="E723" t="str">
            <v>N</v>
          </cell>
          <cell r="F723">
            <v>4.7600000000000003E-2</v>
          </cell>
        </row>
        <row r="724">
          <cell r="A724" t="str">
            <v>45.1.98.0</v>
          </cell>
          <cell r="B724">
            <v>45</v>
          </cell>
          <cell r="C724">
            <v>1</v>
          </cell>
          <cell r="D724">
            <v>98</v>
          </cell>
          <cell r="E724">
            <v>0</v>
          </cell>
          <cell r="F724">
            <v>0</v>
          </cell>
        </row>
        <row r="725">
          <cell r="A725" t="str">
            <v>45.1.98.A</v>
          </cell>
          <cell r="B725">
            <v>45</v>
          </cell>
          <cell r="C725">
            <v>1</v>
          </cell>
          <cell r="D725">
            <v>98</v>
          </cell>
          <cell r="E725" t="str">
            <v>A</v>
          </cell>
          <cell r="F725">
            <v>0</v>
          </cell>
        </row>
        <row r="726">
          <cell r="A726" t="str">
            <v>52.1.4.0</v>
          </cell>
          <cell r="B726">
            <v>52</v>
          </cell>
          <cell r="C726">
            <v>1</v>
          </cell>
          <cell r="D726">
            <v>4</v>
          </cell>
          <cell r="E726">
            <v>0</v>
          </cell>
          <cell r="F726">
            <v>3.8699999999999998E-2</v>
          </cell>
        </row>
        <row r="727">
          <cell r="A727" t="str">
            <v>52.1.4.A</v>
          </cell>
          <cell r="B727">
            <v>52</v>
          </cell>
          <cell r="C727">
            <v>1</v>
          </cell>
          <cell r="D727">
            <v>4</v>
          </cell>
          <cell r="E727" t="str">
            <v>A</v>
          </cell>
          <cell r="F727">
            <v>3.8699999999999998E-2</v>
          </cell>
        </row>
        <row r="728">
          <cell r="A728" t="str">
            <v>52.14.5.0</v>
          </cell>
          <cell r="B728">
            <v>52</v>
          </cell>
          <cell r="C728">
            <v>14</v>
          </cell>
          <cell r="D728">
            <v>5</v>
          </cell>
          <cell r="E728">
            <v>0</v>
          </cell>
          <cell r="F728">
            <v>3.8699999999999998E-2</v>
          </cell>
        </row>
        <row r="729">
          <cell r="A729" t="str">
            <v>52.1.5.A</v>
          </cell>
          <cell r="B729">
            <v>52</v>
          </cell>
          <cell r="C729">
            <v>1</v>
          </cell>
          <cell r="D729">
            <v>5</v>
          </cell>
          <cell r="E729" t="str">
            <v>A</v>
          </cell>
          <cell r="F729">
            <v>3.8699999999999998E-2</v>
          </cell>
        </row>
        <row r="730">
          <cell r="A730" t="str">
            <v>52.14.5.A</v>
          </cell>
          <cell r="B730">
            <v>52</v>
          </cell>
          <cell r="C730">
            <v>14</v>
          </cell>
          <cell r="D730">
            <v>5</v>
          </cell>
          <cell r="E730" t="str">
            <v>A</v>
          </cell>
          <cell r="F730">
            <v>3.8699999999999998E-2</v>
          </cell>
        </row>
        <row r="731">
          <cell r="A731" t="str">
            <v>52.1.5.C</v>
          </cell>
          <cell r="B731">
            <v>52</v>
          </cell>
          <cell r="C731">
            <v>1</v>
          </cell>
          <cell r="D731">
            <v>5</v>
          </cell>
          <cell r="E731" t="str">
            <v>C</v>
          </cell>
          <cell r="F731">
            <v>3.8699999999999998E-2</v>
          </cell>
        </row>
        <row r="732">
          <cell r="A732" t="str">
            <v>52.1.5.E</v>
          </cell>
          <cell r="B732">
            <v>52</v>
          </cell>
          <cell r="C732">
            <v>1</v>
          </cell>
          <cell r="D732">
            <v>5</v>
          </cell>
          <cell r="E732" t="str">
            <v>E</v>
          </cell>
          <cell r="F732">
            <v>0</v>
          </cell>
        </row>
        <row r="733">
          <cell r="A733" t="str">
            <v>52.1.5.F</v>
          </cell>
          <cell r="B733">
            <v>52</v>
          </cell>
          <cell r="C733">
            <v>1</v>
          </cell>
          <cell r="D733">
            <v>5</v>
          </cell>
          <cell r="E733" t="str">
            <v>F</v>
          </cell>
          <cell r="F733">
            <v>3.8699999999999998E-2</v>
          </cell>
        </row>
        <row r="734">
          <cell r="A734" t="str">
            <v>52.1.5.I</v>
          </cell>
          <cell r="B734">
            <v>52</v>
          </cell>
          <cell r="C734">
            <v>1</v>
          </cell>
          <cell r="D734">
            <v>5</v>
          </cell>
          <cell r="E734" t="str">
            <v>I</v>
          </cell>
          <cell r="F734">
            <v>3.8699999999999998E-2</v>
          </cell>
        </row>
        <row r="735">
          <cell r="A735" t="str">
            <v>52.1.5.N</v>
          </cell>
          <cell r="B735">
            <v>52</v>
          </cell>
          <cell r="C735">
            <v>1</v>
          </cell>
          <cell r="D735">
            <v>5</v>
          </cell>
          <cell r="E735" t="str">
            <v>N</v>
          </cell>
          <cell r="F735">
            <v>3.8699999999999998E-2</v>
          </cell>
        </row>
        <row r="736">
          <cell r="A736" t="str">
            <v>52.0M.5.N</v>
          </cell>
          <cell r="B736">
            <v>52</v>
          </cell>
          <cell r="C736" t="str">
            <v>0M</v>
          </cell>
          <cell r="D736">
            <v>5</v>
          </cell>
          <cell r="E736" t="str">
            <v>N</v>
          </cell>
          <cell r="F736">
            <v>3.8699999999999998E-2</v>
          </cell>
        </row>
        <row r="737">
          <cell r="A737" t="str">
            <v>52.7P.5.N</v>
          </cell>
          <cell r="B737">
            <v>52</v>
          </cell>
          <cell r="C737" t="str">
            <v>7P</v>
          </cell>
          <cell r="D737">
            <v>5</v>
          </cell>
          <cell r="E737" t="str">
            <v>N</v>
          </cell>
          <cell r="F737">
            <v>3.8699999999999998E-2</v>
          </cell>
        </row>
        <row r="738">
          <cell r="A738" t="str">
            <v>52.1.6.0</v>
          </cell>
          <cell r="B738">
            <v>52</v>
          </cell>
          <cell r="C738">
            <v>1</v>
          </cell>
          <cell r="D738">
            <v>6</v>
          </cell>
          <cell r="E738">
            <v>0</v>
          </cell>
          <cell r="F738">
            <v>0</v>
          </cell>
        </row>
        <row r="739">
          <cell r="A739" t="str">
            <v>52.1.6.A</v>
          </cell>
          <cell r="B739">
            <v>52</v>
          </cell>
          <cell r="C739">
            <v>1</v>
          </cell>
          <cell r="D739">
            <v>6</v>
          </cell>
          <cell r="E739" t="str">
            <v>A</v>
          </cell>
          <cell r="F739">
            <v>0</v>
          </cell>
        </row>
        <row r="740">
          <cell r="A740" t="str">
            <v>52.1.7.0</v>
          </cell>
          <cell r="B740">
            <v>52</v>
          </cell>
          <cell r="C740">
            <v>1</v>
          </cell>
          <cell r="D740">
            <v>7</v>
          </cell>
          <cell r="E740">
            <v>0</v>
          </cell>
          <cell r="F740">
            <v>7.7499999999999999E-2</v>
          </cell>
        </row>
        <row r="741">
          <cell r="A741" t="str">
            <v>52.1.7.A</v>
          </cell>
          <cell r="B741">
            <v>52</v>
          </cell>
          <cell r="C741">
            <v>1</v>
          </cell>
          <cell r="D741">
            <v>7</v>
          </cell>
          <cell r="E741" t="str">
            <v>A</v>
          </cell>
          <cell r="F741">
            <v>7.7499999999999999E-2</v>
          </cell>
        </row>
        <row r="742">
          <cell r="A742" t="str">
            <v>52.1.12.0</v>
          </cell>
          <cell r="B742">
            <v>52</v>
          </cell>
          <cell r="C742">
            <v>1</v>
          </cell>
          <cell r="D742">
            <v>12</v>
          </cell>
          <cell r="E742">
            <v>0</v>
          </cell>
          <cell r="F742">
            <v>0.2</v>
          </cell>
        </row>
        <row r="743">
          <cell r="A743" t="str">
            <v>52.1.12.A</v>
          </cell>
          <cell r="B743">
            <v>52</v>
          </cell>
          <cell r="C743">
            <v>1</v>
          </cell>
          <cell r="D743">
            <v>12</v>
          </cell>
          <cell r="E743" t="str">
            <v>A</v>
          </cell>
          <cell r="F743">
            <v>0.2</v>
          </cell>
        </row>
        <row r="744">
          <cell r="A744" t="str">
            <v>52.1.12.I</v>
          </cell>
          <cell r="B744">
            <v>52</v>
          </cell>
          <cell r="C744">
            <v>1</v>
          </cell>
          <cell r="D744">
            <v>12</v>
          </cell>
          <cell r="E744" t="str">
            <v>I</v>
          </cell>
          <cell r="F744">
            <v>0.2</v>
          </cell>
        </row>
        <row r="745">
          <cell r="A745" t="str">
            <v>52.1.12.N</v>
          </cell>
          <cell r="B745">
            <v>52</v>
          </cell>
          <cell r="C745">
            <v>1</v>
          </cell>
          <cell r="D745">
            <v>12</v>
          </cell>
          <cell r="E745" t="str">
            <v>N</v>
          </cell>
          <cell r="F745">
            <v>0.2</v>
          </cell>
        </row>
        <row r="746">
          <cell r="A746" t="str">
            <v>52.1.14.C</v>
          </cell>
          <cell r="B746">
            <v>52</v>
          </cell>
          <cell r="C746">
            <v>1</v>
          </cell>
          <cell r="D746">
            <v>14</v>
          </cell>
          <cell r="E746" t="str">
            <v>C</v>
          </cell>
          <cell r="F746">
            <v>3.8699999999999998E-2</v>
          </cell>
        </row>
        <row r="747">
          <cell r="A747" t="str">
            <v>52.1.14.I</v>
          </cell>
          <cell r="B747">
            <v>52</v>
          </cell>
          <cell r="C747">
            <v>1</v>
          </cell>
          <cell r="D747">
            <v>14</v>
          </cell>
          <cell r="E747" t="str">
            <v>I</v>
          </cell>
          <cell r="F747">
            <v>3.8699999999999998E-2</v>
          </cell>
        </row>
        <row r="748">
          <cell r="A748" t="str">
            <v>52.1.14.N</v>
          </cell>
          <cell r="B748">
            <v>52</v>
          </cell>
          <cell r="C748">
            <v>1</v>
          </cell>
          <cell r="D748">
            <v>14</v>
          </cell>
          <cell r="E748" t="str">
            <v>N</v>
          </cell>
          <cell r="F748">
            <v>3.8699999999999998E-2</v>
          </cell>
        </row>
        <row r="749">
          <cell r="A749" t="str">
            <v>52.1.15.C</v>
          </cell>
          <cell r="B749">
            <v>52</v>
          </cell>
          <cell r="C749">
            <v>1</v>
          </cell>
          <cell r="D749">
            <v>15</v>
          </cell>
          <cell r="E749" t="str">
            <v>C</v>
          </cell>
          <cell r="F749">
            <v>3.8699999999999998E-2</v>
          </cell>
        </row>
        <row r="750">
          <cell r="A750" t="str">
            <v>52.1.15.N</v>
          </cell>
          <cell r="B750">
            <v>52</v>
          </cell>
          <cell r="C750">
            <v>1</v>
          </cell>
          <cell r="D750">
            <v>15</v>
          </cell>
          <cell r="E750" t="str">
            <v>N</v>
          </cell>
          <cell r="F750">
            <v>3.8699999999999998E-2</v>
          </cell>
        </row>
        <row r="751">
          <cell r="A751" t="str">
            <v>52.1.16.0</v>
          </cell>
          <cell r="B751">
            <v>52</v>
          </cell>
          <cell r="C751">
            <v>1</v>
          </cell>
          <cell r="D751">
            <v>16</v>
          </cell>
          <cell r="E751">
            <v>0</v>
          </cell>
          <cell r="F751">
            <v>3.8699999999999998E-2</v>
          </cell>
        </row>
        <row r="752">
          <cell r="A752" t="str">
            <v>52.1.16.A</v>
          </cell>
          <cell r="B752">
            <v>52</v>
          </cell>
          <cell r="C752">
            <v>1</v>
          </cell>
          <cell r="D752">
            <v>16</v>
          </cell>
          <cell r="E752" t="str">
            <v>A</v>
          </cell>
          <cell r="F752">
            <v>3.8699999999999998E-2</v>
          </cell>
        </row>
        <row r="753">
          <cell r="A753" t="str">
            <v>52.1.16.C</v>
          </cell>
          <cell r="B753">
            <v>52</v>
          </cell>
          <cell r="C753">
            <v>1</v>
          </cell>
          <cell r="D753">
            <v>16</v>
          </cell>
          <cell r="E753" t="str">
            <v>C</v>
          </cell>
          <cell r="F753">
            <v>3.8699999999999998E-2</v>
          </cell>
        </row>
        <row r="754">
          <cell r="A754" t="str">
            <v>52.1.16.E</v>
          </cell>
          <cell r="B754">
            <v>52</v>
          </cell>
          <cell r="C754">
            <v>1</v>
          </cell>
          <cell r="D754">
            <v>16</v>
          </cell>
          <cell r="E754" t="str">
            <v>E</v>
          </cell>
          <cell r="F754">
            <v>0</v>
          </cell>
        </row>
        <row r="755">
          <cell r="A755" t="str">
            <v>52.1.16.F</v>
          </cell>
          <cell r="B755">
            <v>52</v>
          </cell>
          <cell r="C755">
            <v>1</v>
          </cell>
          <cell r="D755">
            <v>16</v>
          </cell>
          <cell r="E755" t="str">
            <v>F</v>
          </cell>
          <cell r="F755">
            <v>3.8699999999999998E-2</v>
          </cell>
        </row>
        <row r="756">
          <cell r="A756" t="str">
            <v>52.1.16.I</v>
          </cell>
          <cell r="B756">
            <v>52</v>
          </cell>
          <cell r="C756">
            <v>1</v>
          </cell>
          <cell r="D756">
            <v>16</v>
          </cell>
          <cell r="E756" t="str">
            <v>I</v>
          </cell>
          <cell r="F756">
            <v>3.8699999999999998E-2</v>
          </cell>
        </row>
        <row r="757">
          <cell r="A757" t="str">
            <v>52.1.16.N</v>
          </cell>
          <cell r="B757">
            <v>52</v>
          </cell>
          <cell r="C757">
            <v>1</v>
          </cell>
          <cell r="D757">
            <v>16</v>
          </cell>
          <cell r="E757" t="str">
            <v>N</v>
          </cell>
          <cell r="F757">
            <v>3.8699999999999998E-2</v>
          </cell>
        </row>
        <row r="758">
          <cell r="A758" t="str">
            <v>52.7M.16.N</v>
          </cell>
          <cell r="B758">
            <v>52</v>
          </cell>
          <cell r="C758" t="str">
            <v>7M</v>
          </cell>
          <cell r="D758">
            <v>16</v>
          </cell>
          <cell r="E758" t="str">
            <v>N</v>
          </cell>
          <cell r="F758">
            <v>3.8699999999999998E-2</v>
          </cell>
        </row>
        <row r="759">
          <cell r="A759" t="str">
            <v>52.7P.16.N</v>
          </cell>
          <cell r="B759">
            <v>52</v>
          </cell>
          <cell r="C759" t="str">
            <v>7P</v>
          </cell>
          <cell r="D759">
            <v>16</v>
          </cell>
          <cell r="E759" t="str">
            <v>N</v>
          </cell>
          <cell r="F759">
            <v>3.8699999999999998E-2</v>
          </cell>
        </row>
        <row r="760">
          <cell r="A760" t="str">
            <v>52.1.17.0</v>
          </cell>
          <cell r="B760">
            <v>52</v>
          </cell>
          <cell r="C760">
            <v>1</v>
          </cell>
          <cell r="D760">
            <v>17</v>
          </cell>
          <cell r="E760">
            <v>0</v>
          </cell>
          <cell r="F760">
            <v>7.7499999999999999E-2</v>
          </cell>
        </row>
        <row r="761">
          <cell r="A761" t="str">
            <v>52.1.17.A</v>
          </cell>
          <cell r="B761">
            <v>52</v>
          </cell>
          <cell r="C761">
            <v>1</v>
          </cell>
          <cell r="D761">
            <v>17</v>
          </cell>
          <cell r="E761" t="str">
            <v>A</v>
          </cell>
          <cell r="F761">
            <v>7.7499999999999999E-2</v>
          </cell>
        </row>
        <row r="762">
          <cell r="A762" t="str">
            <v>52.1.17.C</v>
          </cell>
          <cell r="B762">
            <v>52</v>
          </cell>
          <cell r="C762">
            <v>1</v>
          </cell>
          <cell r="D762">
            <v>17</v>
          </cell>
          <cell r="E762" t="str">
            <v>C</v>
          </cell>
          <cell r="F762">
            <v>7.7499999999999999E-2</v>
          </cell>
        </row>
        <row r="763">
          <cell r="A763" t="str">
            <v>52.1.17.F</v>
          </cell>
          <cell r="B763">
            <v>52</v>
          </cell>
          <cell r="C763">
            <v>1</v>
          </cell>
          <cell r="D763">
            <v>17</v>
          </cell>
          <cell r="E763" t="str">
            <v>F</v>
          </cell>
          <cell r="F763">
            <v>7.7499999999999999E-2</v>
          </cell>
        </row>
        <row r="764">
          <cell r="A764" t="str">
            <v>52.1.17.I</v>
          </cell>
          <cell r="B764">
            <v>52</v>
          </cell>
          <cell r="C764">
            <v>1</v>
          </cell>
          <cell r="D764">
            <v>17</v>
          </cell>
          <cell r="E764" t="str">
            <v>I</v>
          </cell>
          <cell r="F764">
            <v>7.7499999999999999E-2</v>
          </cell>
        </row>
        <row r="765">
          <cell r="A765" t="str">
            <v>52.1.17.N</v>
          </cell>
          <cell r="B765">
            <v>52</v>
          </cell>
          <cell r="C765">
            <v>1</v>
          </cell>
          <cell r="D765">
            <v>17</v>
          </cell>
          <cell r="E765" t="str">
            <v>N</v>
          </cell>
          <cell r="F765">
            <v>7.7499999999999999E-2</v>
          </cell>
        </row>
        <row r="766">
          <cell r="A766" t="str">
            <v>52.7M.17.N</v>
          </cell>
          <cell r="B766">
            <v>52</v>
          </cell>
          <cell r="C766" t="str">
            <v>7M</v>
          </cell>
          <cell r="D766">
            <v>17</v>
          </cell>
          <cell r="E766" t="str">
            <v>N</v>
          </cell>
          <cell r="F766">
            <v>7.7499999999999999E-2</v>
          </cell>
        </row>
        <row r="767">
          <cell r="A767" t="str">
            <v>52.7P.17.N</v>
          </cell>
          <cell r="B767">
            <v>52</v>
          </cell>
          <cell r="C767" t="str">
            <v>7P</v>
          </cell>
          <cell r="D767">
            <v>17</v>
          </cell>
          <cell r="E767" t="str">
            <v>N</v>
          </cell>
          <cell r="F767">
            <v>7.7499999999999999E-2</v>
          </cell>
        </row>
        <row r="768">
          <cell r="A768" t="str">
            <v>52.1.18.0</v>
          </cell>
          <cell r="B768">
            <v>52</v>
          </cell>
          <cell r="C768">
            <v>1</v>
          </cell>
          <cell r="D768">
            <v>18</v>
          </cell>
          <cell r="E768">
            <v>0</v>
          </cell>
          <cell r="F768">
            <v>3.8699999999999998E-2</v>
          </cell>
        </row>
        <row r="769">
          <cell r="A769" t="str">
            <v>52.14.18.0</v>
          </cell>
          <cell r="B769">
            <v>52</v>
          </cell>
          <cell r="C769">
            <v>14</v>
          </cell>
          <cell r="D769">
            <v>18</v>
          </cell>
          <cell r="E769">
            <v>0</v>
          </cell>
          <cell r="F769">
            <v>3.8699999999999998E-2</v>
          </cell>
        </row>
        <row r="770">
          <cell r="A770" t="str">
            <v>52.1.18.A</v>
          </cell>
          <cell r="B770">
            <v>52</v>
          </cell>
          <cell r="C770">
            <v>1</v>
          </cell>
          <cell r="D770">
            <v>18</v>
          </cell>
          <cell r="E770" t="str">
            <v>A</v>
          </cell>
          <cell r="F770">
            <v>3.8699999999999998E-2</v>
          </cell>
        </row>
        <row r="771">
          <cell r="A771" t="str">
            <v>52.1.18.F</v>
          </cell>
          <cell r="B771">
            <v>52</v>
          </cell>
          <cell r="C771">
            <v>1</v>
          </cell>
          <cell r="D771">
            <v>18</v>
          </cell>
          <cell r="E771" t="str">
            <v>F</v>
          </cell>
          <cell r="F771">
            <v>3.8699999999999998E-2</v>
          </cell>
        </row>
        <row r="772">
          <cell r="A772" t="str">
            <v>52.1.18.I</v>
          </cell>
          <cell r="B772">
            <v>52</v>
          </cell>
          <cell r="C772">
            <v>1</v>
          </cell>
          <cell r="D772">
            <v>18</v>
          </cell>
          <cell r="E772" t="str">
            <v>I</v>
          </cell>
          <cell r="F772">
            <v>3.8699999999999998E-2</v>
          </cell>
        </row>
        <row r="773">
          <cell r="A773" t="str">
            <v>52.1.18.N</v>
          </cell>
          <cell r="B773">
            <v>52</v>
          </cell>
          <cell r="C773">
            <v>1</v>
          </cell>
          <cell r="D773">
            <v>18</v>
          </cell>
          <cell r="E773" t="str">
            <v>N</v>
          </cell>
          <cell r="F773">
            <v>3.8699999999999998E-2</v>
          </cell>
        </row>
        <row r="774">
          <cell r="A774" t="str">
            <v>52.0M.18.N</v>
          </cell>
          <cell r="B774">
            <v>52</v>
          </cell>
          <cell r="C774" t="str">
            <v>0M</v>
          </cell>
          <cell r="D774">
            <v>18</v>
          </cell>
          <cell r="E774" t="str">
            <v>N</v>
          </cell>
          <cell r="F774">
            <v>3.8699999999999998E-2</v>
          </cell>
        </row>
        <row r="775">
          <cell r="A775" t="str">
            <v>52.12.18.N</v>
          </cell>
          <cell r="B775">
            <v>52</v>
          </cell>
          <cell r="C775">
            <v>12</v>
          </cell>
          <cell r="D775">
            <v>18</v>
          </cell>
          <cell r="E775" t="str">
            <v>N</v>
          </cell>
          <cell r="F775">
            <v>3.8699999999999998E-2</v>
          </cell>
        </row>
        <row r="776">
          <cell r="A776" t="str">
            <v>52.7P.18.N</v>
          </cell>
          <cell r="B776">
            <v>52</v>
          </cell>
          <cell r="C776" t="str">
            <v>7P</v>
          </cell>
          <cell r="D776">
            <v>18</v>
          </cell>
          <cell r="E776" t="str">
            <v>N</v>
          </cell>
          <cell r="F776">
            <v>3.8699999999999998E-2</v>
          </cell>
        </row>
        <row r="777">
          <cell r="A777" t="str">
            <v>52.1.19.0</v>
          </cell>
          <cell r="B777">
            <v>52</v>
          </cell>
          <cell r="C777">
            <v>1</v>
          </cell>
          <cell r="D777">
            <v>19</v>
          </cell>
          <cell r="E777">
            <v>0</v>
          </cell>
          <cell r="F777">
            <v>7.7499999999999999E-2</v>
          </cell>
        </row>
        <row r="778">
          <cell r="A778" t="str">
            <v>52.14.19.0</v>
          </cell>
          <cell r="B778">
            <v>52</v>
          </cell>
          <cell r="C778">
            <v>14</v>
          </cell>
          <cell r="D778">
            <v>19</v>
          </cell>
          <cell r="E778">
            <v>0</v>
          </cell>
          <cell r="F778">
            <v>7.7499999999999999E-2</v>
          </cell>
        </row>
        <row r="779">
          <cell r="A779" t="str">
            <v>52.1.19.A</v>
          </cell>
          <cell r="B779">
            <v>52</v>
          </cell>
          <cell r="C779">
            <v>1</v>
          </cell>
          <cell r="D779">
            <v>19</v>
          </cell>
          <cell r="E779" t="str">
            <v>A</v>
          </cell>
          <cell r="F779">
            <v>7.7499999999999999E-2</v>
          </cell>
        </row>
        <row r="780">
          <cell r="A780" t="str">
            <v>52.1.19.F</v>
          </cell>
          <cell r="B780">
            <v>52</v>
          </cell>
          <cell r="C780">
            <v>1</v>
          </cell>
          <cell r="D780">
            <v>19</v>
          </cell>
          <cell r="E780" t="str">
            <v>F</v>
          </cell>
          <cell r="F780">
            <v>7.7499999999999999E-2</v>
          </cell>
        </row>
        <row r="781">
          <cell r="A781" t="str">
            <v>52.1.19.I</v>
          </cell>
          <cell r="B781">
            <v>52</v>
          </cell>
          <cell r="C781">
            <v>1</v>
          </cell>
          <cell r="D781">
            <v>19</v>
          </cell>
          <cell r="E781" t="str">
            <v>I</v>
          </cell>
          <cell r="F781">
            <v>7.7499999999999999E-2</v>
          </cell>
        </row>
        <row r="782">
          <cell r="A782" t="str">
            <v>52.1.19.N</v>
          </cell>
          <cell r="B782">
            <v>52</v>
          </cell>
          <cell r="C782">
            <v>1</v>
          </cell>
          <cell r="D782">
            <v>19</v>
          </cell>
          <cell r="E782" t="str">
            <v>N</v>
          </cell>
          <cell r="F782">
            <v>7.7499999999999999E-2</v>
          </cell>
        </row>
        <row r="783">
          <cell r="A783" t="str">
            <v>52.0M.19.N</v>
          </cell>
          <cell r="B783">
            <v>52</v>
          </cell>
          <cell r="C783" t="str">
            <v>0M</v>
          </cell>
          <cell r="D783">
            <v>19</v>
          </cell>
          <cell r="E783" t="str">
            <v>N</v>
          </cell>
          <cell r="F783">
            <v>7.7499999999999999E-2</v>
          </cell>
        </row>
        <row r="784">
          <cell r="A784" t="str">
            <v>52.12.19.N</v>
          </cell>
          <cell r="B784">
            <v>52</v>
          </cell>
          <cell r="C784">
            <v>12</v>
          </cell>
          <cell r="D784">
            <v>19</v>
          </cell>
          <cell r="E784" t="str">
            <v>N</v>
          </cell>
          <cell r="F784">
            <v>7.7499999999999999E-2</v>
          </cell>
        </row>
        <row r="785">
          <cell r="A785" t="str">
            <v>52.7P.19.N</v>
          </cell>
          <cell r="B785">
            <v>52</v>
          </cell>
          <cell r="C785" t="str">
            <v>7P</v>
          </cell>
          <cell r="D785">
            <v>19</v>
          </cell>
          <cell r="E785" t="str">
            <v>N</v>
          </cell>
          <cell r="F785">
            <v>7.7499999999999999E-2</v>
          </cell>
        </row>
        <row r="786">
          <cell r="A786" t="str">
            <v>52.1.20.0</v>
          </cell>
          <cell r="B786">
            <v>52</v>
          </cell>
          <cell r="C786">
            <v>1</v>
          </cell>
          <cell r="D786">
            <v>20</v>
          </cell>
          <cell r="E786">
            <v>0</v>
          </cell>
          <cell r="F786">
            <v>2.4299999999999999E-2</v>
          </cell>
        </row>
        <row r="787">
          <cell r="A787" t="str">
            <v>52.1.20.E</v>
          </cell>
          <cell r="B787">
            <v>52</v>
          </cell>
          <cell r="C787">
            <v>1</v>
          </cell>
          <cell r="D787">
            <v>20</v>
          </cell>
          <cell r="E787" t="str">
            <v>E</v>
          </cell>
          <cell r="F787">
            <v>0</v>
          </cell>
        </row>
        <row r="788">
          <cell r="A788" t="str">
            <v>52.1.20.F</v>
          </cell>
          <cell r="B788">
            <v>52</v>
          </cell>
          <cell r="C788">
            <v>1</v>
          </cell>
          <cell r="D788">
            <v>20</v>
          </cell>
          <cell r="E788" t="str">
            <v>F</v>
          </cell>
          <cell r="F788">
            <v>2.4299999999999999E-2</v>
          </cell>
        </row>
        <row r="789">
          <cell r="A789" t="str">
            <v>52.1.20.I</v>
          </cell>
          <cell r="B789">
            <v>52</v>
          </cell>
          <cell r="C789">
            <v>1</v>
          </cell>
          <cell r="D789">
            <v>20</v>
          </cell>
          <cell r="E789" t="str">
            <v>I</v>
          </cell>
          <cell r="F789">
            <v>2.4299999999999999E-2</v>
          </cell>
        </row>
        <row r="790">
          <cell r="A790" t="str">
            <v>52.1.20.N</v>
          </cell>
          <cell r="B790">
            <v>52</v>
          </cell>
          <cell r="C790">
            <v>1</v>
          </cell>
          <cell r="D790">
            <v>20</v>
          </cell>
          <cell r="E790" t="str">
            <v>N</v>
          </cell>
          <cell r="F790">
            <v>2.4299999999999999E-2</v>
          </cell>
        </row>
        <row r="791">
          <cell r="A791" t="str">
            <v>52.71.20.N</v>
          </cell>
          <cell r="B791">
            <v>52</v>
          </cell>
          <cell r="C791">
            <v>71</v>
          </cell>
          <cell r="D791">
            <v>20</v>
          </cell>
          <cell r="E791" t="str">
            <v>N</v>
          </cell>
          <cell r="F791">
            <v>2.6100000000000002E-2</v>
          </cell>
        </row>
        <row r="792">
          <cell r="A792" t="str">
            <v>52.74.20.N</v>
          </cell>
          <cell r="B792">
            <v>52</v>
          </cell>
          <cell r="C792">
            <v>74</v>
          </cell>
          <cell r="D792">
            <v>20</v>
          </cell>
          <cell r="E792" t="str">
            <v>N</v>
          </cell>
          <cell r="F792">
            <v>2.4299999999999999E-2</v>
          </cell>
        </row>
        <row r="793">
          <cell r="A793" t="str">
            <v>52.7P.20.N</v>
          </cell>
          <cell r="B793">
            <v>52</v>
          </cell>
          <cell r="C793" t="str">
            <v>7P</v>
          </cell>
          <cell r="D793">
            <v>20</v>
          </cell>
          <cell r="E793" t="str">
            <v>N</v>
          </cell>
          <cell r="F793">
            <v>2.4299999999999999E-2</v>
          </cell>
        </row>
        <row r="794">
          <cell r="A794" t="str">
            <v>52.1.21.0</v>
          </cell>
          <cell r="B794">
            <v>52</v>
          </cell>
          <cell r="C794">
            <v>1</v>
          </cell>
          <cell r="D794">
            <v>21</v>
          </cell>
          <cell r="E794">
            <v>0</v>
          </cell>
          <cell r="F794">
            <v>4.7500000000000001E-2</v>
          </cell>
        </row>
        <row r="795">
          <cell r="A795" t="str">
            <v>52.1.21.F</v>
          </cell>
          <cell r="B795">
            <v>52</v>
          </cell>
          <cell r="C795">
            <v>1</v>
          </cell>
          <cell r="D795">
            <v>21</v>
          </cell>
          <cell r="E795" t="str">
            <v>F</v>
          </cell>
          <cell r="F795">
            <v>4.7500000000000001E-2</v>
          </cell>
        </row>
        <row r="796">
          <cell r="A796" t="str">
            <v>52.1.21.I</v>
          </cell>
          <cell r="B796">
            <v>52</v>
          </cell>
          <cell r="C796">
            <v>1</v>
          </cell>
          <cell r="D796">
            <v>21</v>
          </cell>
          <cell r="E796" t="str">
            <v>I</v>
          </cell>
          <cell r="F796">
            <v>4.7500000000000001E-2</v>
          </cell>
        </row>
        <row r="797">
          <cell r="A797" t="str">
            <v>52.1.21.N</v>
          </cell>
          <cell r="B797">
            <v>52</v>
          </cell>
          <cell r="C797">
            <v>1</v>
          </cell>
          <cell r="D797">
            <v>21</v>
          </cell>
          <cell r="E797" t="str">
            <v>N</v>
          </cell>
          <cell r="F797">
            <v>4.7500000000000001E-2</v>
          </cell>
        </row>
        <row r="798">
          <cell r="A798" t="str">
            <v>52.71.21.N</v>
          </cell>
          <cell r="B798">
            <v>52</v>
          </cell>
          <cell r="C798">
            <v>71</v>
          </cell>
          <cell r="D798">
            <v>21</v>
          </cell>
          <cell r="E798" t="str">
            <v>N</v>
          </cell>
          <cell r="F798">
            <v>4.7500000000000001E-2</v>
          </cell>
        </row>
        <row r="799">
          <cell r="A799" t="str">
            <v>52.74.21.N</v>
          </cell>
          <cell r="B799">
            <v>52</v>
          </cell>
          <cell r="C799">
            <v>74</v>
          </cell>
          <cell r="D799">
            <v>21</v>
          </cell>
          <cell r="E799" t="str">
            <v>N</v>
          </cell>
          <cell r="F799">
            <v>4.7500000000000001E-2</v>
          </cell>
        </row>
        <row r="800">
          <cell r="A800" t="str">
            <v>52.7P.21.N</v>
          </cell>
          <cell r="B800">
            <v>52</v>
          </cell>
          <cell r="C800" t="str">
            <v>7P</v>
          </cell>
          <cell r="D800">
            <v>21</v>
          </cell>
          <cell r="E800" t="str">
            <v>N</v>
          </cell>
          <cell r="F800">
            <v>4.7500000000000001E-2</v>
          </cell>
        </row>
        <row r="801">
          <cell r="A801" t="str">
            <v>52.1.24.0</v>
          </cell>
          <cell r="B801">
            <v>52</v>
          </cell>
          <cell r="C801">
            <v>1</v>
          </cell>
          <cell r="D801">
            <v>24</v>
          </cell>
          <cell r="E801">
            <v>0</v>
          </cell>
          <cell r="F801">
            <v>2.4299999999999999E-2</v>
          </cell>
        </row>
        <row r="802">
          <cell r="A802" t="str">
            <v>52.1.24.A</v>
          </cell>
          <cell r="B802">
            <v>52</v>
          </cell>
          <cell r="C802">
            <v>1</v>
          </cell>
          <cell r="D802">
            <v>24</v>
          </cell>
          <cell r="E802" t="str">
            <v>A</v>
          </cell>
          <cell r="F802">
            <v>2.4299999999999999E-2</v>
          </cell>
        </row>
        <row r="803">
          <cell r="A803" t="str">
            <v>52.1.24.E</v>
          </cell>
          <cell r="B803">
            <v>52</v>
          </cell>
          <cell r="C803">
            <v>1</v>
          </cell>
          <cell r="D803">
            <v>24</v>
          </cell>
          <cell r="E803" t="str">
            <v>E</v>
          </cell>
          <cell r="F803">
            <v>0</v>
          </cell>
        </row>
        <row r="804">
          <cell r="A804" t="str">
            <v>52.1.24.I</v>
          </cell>
          <cell r="B804">
            <v>52</v>
          </cell>
          <cell r="C804">
            <v>1</v>
          </cell>
          <cell r="D804">
            <v>24</v>
          </cell>
          <cell r="E804" t="str">
            <v>I</v>
          </cell>
          <cell r="F804">
            <v>2.4299999999999999E-2</v>
          </cell>
        </row>
        <row r="805">
          <cell r="A805" t="str">
            <v>52.1.24.N</v>
          </cell>
          <cell r="B805">
            <v>52</v>
          </cell>
          <cell r="C805">
            <v>1</v>
          </cell>
          <cell r="D805">
            <v>24</v>
          </cell>
          <cell r="E805" t="str">
            <v>N</v>
          </cell>
          <cell r="F805">
            <v>2.4299999999999999E-2</v>
          </cell>
        </row>
        <row r="806">
          <cell r="A806" t="str">
            <v>52.7P.24.N</v>
          </cell>
          <cell r="B806">
            <v>52</v>
          </cell>
          <cell r="C806" t="str">
            <v>7P</v>
          </cell>
          <cell r="D806">
            <v>24</v>
          </cell>
          <cell r="E806" t="str">
            <v>N</v>
          </cell>
          <cell r="F806">
            <v>2.4299999999999999E-2</v>
          </cell>
        </row>
        <row r="807">
          <cell r="A807" t="str">
            <v>52.1.26.I</v>
          </cell>
          <cell r="B807">
            <v>52</v>
          </cell>
          <cell r="C807">
            <v>1</v>
          </cell>
          <cell r="D807">
            <v>26</v>
          </cell>
          <cell r="E807" t="str">
            <v>I</v>
          </cell>
          <cell r="F807">
            <v>9.0899999999999995E-2</v>
          </cell>
        </row>
        <row r="808">
          <cell r="A808" t="str">
            <v>52.1.26.N</v>
          </cell>
          <cell r="B808">
            <v>52</v>
          </cell>
          <cell r="C808">
            <v>1</v>
          </cell>
          <cell r="D808">
            <v>26</v>
          </cell>
          <cell r="E808" t="str">
            <v>N</v>
          </cell>
          <cell r="F808">
            <v>9.0899999999999995E-2</v>
          </cell>
        </row>
        <row r="809">
          <cell r="A809" t="str">
            <v>52.1.30.A</v>
          </cell>
          <cell r="B809">
            <v>52</v>
          </cell>
          <cell r="C809">
            <v>1</v>
          </cell>
          <cell r="D809">
            <v>30</v>
          </cell>
          <cell r="E809" t="str">
            <v>A</v>
          </cell>
          <cell r="F809">
            <v>9.0899999999999995E-2</v>
          </cell>
        </row>
        <row r="810">
          <cell r="A810" t="str">
            <v>52.1.30.N</v>
          </cell>
          <cell r="B810">
            <v>52</v>
          </cell>
          <cell r="C810">
            <v>1</v>
          </cell>
          <cell r="D810">
            <v>30</v>
          </cell>
          <cell r="E810" t="str">
            <v>N</v>
          </cell>
          <cell r="F810">
            <v>9.0899999999999995E-2</v>
          </cell>
        </row>
        <row r="811">
          <cell r="A811" t="str">
            <v>52.7P.30.N</v>
          </cell>
          <cell r="B811">
            <v>52</v>
          </cell>
          <cell r="C811" t="str">
            <v>7P</v>
          </cell>
          <cell r="D811">
            <v>30</v>
          </cell>
          <cell r="E811" t="str">
            <v>N</v>
          </cell>
          <cell r="F811">
            <v>9.0899999999999995E-2</v>
          </cell>
        </row>
        <row r="812">
          <cell r="A812" t="str">
            <v>52.1.33.A</v>
          </cell>
          <cell r="B812">
            <v>52</v>
          </cell>
          <cell r="C812">
            <v>1</v>
          </cell>
          <cell r="D812">
            <v>33</v>
          </cell>
          <cell r="E812" t="str">
            <v>A</v>
          </cell>
          <cell r="F812">
            <v>9.0899999999999995E-2</v>
          </cell>
        </row>
        <row r="813">
          <cell r="A813" t="str">
            <v>52.1.90.0</v>
          </cell>
          <cell r="B813">
            <v>52</v>
          </cell>
          <cell r="C813">
            <v>1</v>
          </cell>
          <cell r="D813">
            <v>90</v>
          </cell>
          <cell r="E813">
            <v>0</v>
          </cell>
          <cell r="F813">
            <v>0.125</v>
          </cell>
        </row>
        <row r="814">
          <cell r="A814" t="str">
            <v>52.1.90.I</v>
          </cell>
          <cell r="B814">
            <v>52</v>
          </cell>
          <cell r="C814">
            <v>1</v>
          </cell>
          <cell r="D814">
            <v>90</v>
          </cell>
          <cell r="E814" t="str">
            <v>I</v>
          </cell>
          <cell r="F814">
            <v>0.125</v>
          </cell>
        </row>
        <row r="815">
          <cell r="A815" t="str">
            <v>52.1.90.N</v>
          </cell>
          <cell r="B815">
            <v>52</v>
          </cell>
          <cell r="C815">
            <v>1</v>
          </cell>
          <cell r="D815">
            <v>90</v>
          </cell>
          <cell r="E815" t="str">
            <v>N</v>
          </cell>
          <cell r="F815">
            <v>0.125</v>
          </cell>
        </row>
        <row r="816">
          <cell r="A816" t="str">
            <v>52.1.98.0</v>
          </cell>
          <cell r="B816">
            <v>52</v>
          </cell>
          <cell r="C816">
            <v>1</v>
          </cell>
          <cell r="D816">
            <v>98</v>
          </cell>
          <cell r="E816">
            <v>0</v>
          </cell>
          <cell r="F816">
            <v>0</v>
          </cell>
        </row>
        <row r="817">
          <cell r="A817" t="str">
            <v>52.1.98.A</v>
          </cell>
          <cell r="B817">
            <v>52</v>
          </cell>
          <cell r="C817">
            <v>1</v>
          </cell>
          <cell r="D817">
            <v>98</v>
          </cell>
          <cell r="E817" t="str">
            <v>A</v>
          </cell>
          <cell r="F817">
            <v>0</v>
          </cell>
        </row>
        <row r="818">
          <cell r="A818" t="str">
            <v>52.1.98.F</v>
          </cell>
          <cell r="B818">
            <v>52</v>
          </cell>
          <cell r="C818">
            <v>1</v>
          </cell>
          <cell r="D818">
            <v>98</v>
          </cell>
          <cell r="E818" t="str">
            <v>F</v>
          </cell>
          <cell r="F818">
            <v>0</v>
          </cell>
        </row>
        <row r="819">
          <cell r="A819" t="str">
            <v>52.1.98.I</v>
          </cell>
          <cell r="B819">
            <v>52</v>
          </cell>
          <cell r="C819">
            <v>1</v>
          </cell>
          <cell r="D819">
            <v>98</v>
          </cell>
          <cell r="E819" t="str">
            <v>I</v>
          </cell>
          <cell r="F819">
            <v>0</v>
          </cell>
        </row>
        <row r="820">
          <cell r="A820" t="str">
            <v>52.1.98.N</v>
          </cell>
          <cell r="B820">
            <v>52</v>
          </cell>
          <cell r="C820">
            <v>1</v>
          </cell>
          <cell r="D820">
            <v>98</v>
          </cell>
          <cell r="E820" t="str">
            <v>N</v>
          </cell>
          <cell r="F820">
            <v>0</v>
          </cell>
        </row>
        <row r="821">
          <cell r="A821" t="str">
            <v>53.1.0.0</v>
          </cell>
          <cell r="B821">
            <v>53</v>
          </cell>
          <cell r="C821">
            <v>1</v>
          </cell>
          <cell r="D821">
            <v>0</v>
          </cell>
          <cell r="E821">
            <v>0</v>
          </cell>
          <cell r="F821">
            <v>3.2599999999999997E-2</v>
          </cell>
        </row>
        <row r="822">
          <cell r="A822" t="str">
            <v>53.1.0.A</v>
          </cell>
          <cell r="B822">
            <v>53</v>
          </cell>
          <cell r="C822">
            <v>1</v>
          </cell>
          <cell r="D822">
            <v>0</v>
          </cell>
          <cell r="E822" t="str">
            <v>A</v>
          </cell>
          <cell r="F822">
            <v>3.2599999999999997E-2</v>
          </cell>
        </row>
        <row r="823">
          <cell r="A823" t="str">
            <v>53.1.1.C</v>
          </cell>
          <cell r="B823">
            <v>53</v>
          </cell>
          <cell r="C823">
            <v>1</v>
          </cell>
          <cell r="D823">
            <v>1</v>
          </cell>
          <cell r="E823" t="str">
            <v>C</v>
          </cell>
          <cell r="F823">
            <v>3.2099999999999997E-2</v>
          </cell>
        </row>
        <row r="824">
          <cell r="A824" t="str">
            <v>53.1.1.E</v>
          </cell>
          <cell r="B824">
            <v>53</v>
          </cell>
          <cell r="C824">
            <v>1</v>
          </cell>
          <cell r="D824">
            <v>1</v>
          </cell>
          <cell r="E824" t="str">
            <v>E</v>
          </cell>
          <cell r="F824">
            <v>3.2099999999999997E-2</v>
          </cell>
        </row>
        <row r="825">
          <cell r="A825" t="str">
            <v>53.1.1.I</v>
          </cell>
          <cell r="B825">
            <v>53</v>
          </cell>
          <cell r="C825">
            <v>1</v>
          </cell>
          <cell r="D825">
            <v>1</v>
          </cell>
          <cell r="E825" t="str">
            <v>I</v>
          </cell>
          <cell r="F825">
            <v>3.2099999999999997E-2</v>
          </cell>
        </row>
        <row r="826">
          <cell r="A826" t="str">
            <v>53.1.1.N</v>
          </cell>
          <cell r="B826">
            <v>53</v>
          </cell>
          <cell r="C826">
            <v>1</v>
          </cell>
          <cell r="D826">
            <v>1</v>
          </cell>
          <cell r="E826" t="str">
            <v>N</v>
          </cell>
          <cell r="F826">
            <v>3.2099999999999997E-2</v>
          </cell>
        </row>
        <row r="827">
          <cell r="A827" t="str">
            <v>53.1.2.0</v>
          </cell>
          <cell r="B827">
            <v>53</v>
          </cell>
          <cell r="C827">
            <v>1</v>
          </cell>
          <cell r="D827">
            <v>2</v>
          </cell>
          <cell r="E827">
            <v>0</v>
          </cell>
          <cell r="F827">
            <v>3.0800000000000001E-2</v>
          </cell>
        </row>
        <row r="828">
          <cell r="A828" t="str">
            <v>53.1.2.A</v>
          </cell>
          <cell r="B828">
            <v>53</v>
          </cell>
          <cell r="C828">
            <v>1</v>
          </cell>
          <cell r="D828">
            <v>2</v>
          </cell>
          <cell r="E828" t="str">
            <v>A</v>
          </cell>
          <cell r="F828">
            <v>3.0800000000000001E-2</v>
          </cell>
        </row>
        <row r="829">
          <cell r="A829" t="str">
            <v>53.1.2.E</v>
          </cell>
          <cell r="B829">
            <v>53</v>
          </cell>
          <cell r="C829">
            <v>1</v>
          </cell>
          <cell r="D829">
            <v>2</v>
          </cell>
          <cell r="E829" t="str">
            <v>E</v>
          </cell>
          <cell r="F829">
            <v>3.0800000000000001E-2</v>
          </cell>
        </row>
        <row r="830">
          <cell r="A830" t="str">
            <v>53.1.2.F</v>
          </cell>
          <cell r="B830">
            <v>53</v>
          </cell>
          <cell r="C830">
            <v>1</v>
          </cell>
          <cell r="D830">
            <v>2</v>
          </cell>
          <cell r="E830" t="str">
            <v>F</v>
          </cell>
          <cell r="F830">
            <v>3.0800000000000001E-2</v>
          </cell>
        </row>
        <row r="831">
          <cell r="A831" t="str">
            <v>53.1.2.I</v>
          </cell>
          <cell r="B831">
            <v>53</v>
          </cell>
          <cell r="C831">
            <v>1</v>
          </cell>
          <cell r="D831">
            <v>2</v>
          </cell>
          <cell r="E831" t="str">
            <v>I</v>
          </cell>
          <cell r="F831">
            <v>3.0800000000000001E-2</v>
          </cell>
        </row>
        <row r="832">
          <cell r="A832" t="str">
            <v>53.1.2.N</v>
          </cell>
          <cell r="B832">
            <v>53</v>
          </cell>
          <cell r="C832">
            <v>1</v>
          </cell>
          <cell r="D832">
            <v>2</v>
          </cell>
          <cell r="E832" t="str">
            <v>N</v>
          </cell>
          <cell r="F832">
            <v>3.0800000000000001E-2</v>
          </cell>
        </row>
        <row r="833">
          <cell r="A833" t="str">
            <v>53.1.3.0</v>
          </cell>
          <cell r="B833">
            <v>53</v>
          </cell>
          <cell r="C833">
            <v>1</v>
          </cell>
          <cell r="D833">
            <v>3</v>
          </cell>
          <cell r="E833">
            <v>0</v>
          </cell>
          <cell r="F833">
            <v>3.0800000000000001E-2</v>
          </cell>
        </row>
        <row r="834">
          <cell r="A834" t="str">
            <v>53.1.3.A</v>
          </cell>
          <cell r="B834">
            <v>53</v>
          </cell>
          <cell r="C834">
            <v>1</v>
          </cell>
          <cell r="D834">
            <v>3</v>
          </cell>
          <cell r="E834" t="str">
            <v>A</v>
          </cell>
          <cell r="F834">
            <v>3.0800000000000001E-2</v>
          </cell>
        </row>
        <row r="835">
          <cell r="A835" t="str">
            <v>53.1.4.0</v>
          </cell>
          <cell r="B835">
            <v>53</v>
          </cell>
          <cell r="C835">
            <v>1</v>
          </cell>
          <cell r="D835">
            <v>4</v>
          </cell>
          <cell r="E835">
            <v>0</v>
          </cell>
          <cell r="F835">
            <v>3.2599999999999997E-2</v>
          </cell>
        </row>
        <row r="836">
          <cell r="A836" t="str">
            <v>53.1.4.A</v>
          </cell>
          <cell r="B836">
            <v>53</v>
          </cell>
          <cell r="C836">
            <v>1</v>
          </cell>
          <cell r="D836">
            <v>4</v>
          </cell>
          <cell r="E836" t="str">
            <v>A</v>
          </cell>
          <cell r="F836">
            <v>3.2599999999999997E-2</v>
          </cell>
        </row>
        <row r="837">
          <cell r="A837" t="str">
            <v>53.1.6.0</v>
          </cell>
          <cell r="B837">
            <v>53</v>
          </cell>
          <cell r="C837">
            <v>1</v>
          </cell>
          <cell r="D837">
            <v>6</v>
          </cell>
          <cell r="E837">
            <v>0</v>
          </cell>
          <cell r="F837">
            <v>3.2599999999999997E-2</v>
          </cell>
        </row>
        <row r="838">
          <cell r="A838" t="str">
            <v>53.1.6.A</v>
          </cell>
          <cell r="B838">
            <v>53</v>
          </cell>
          <cell r="C838">
            <v>1</v>
          </cell>
          <cell r="D838">
            <v>6</v>
          </cell>
          <cell r="E838" t="str">
            <v>A</v>
          </cell>
          <cell r="F838">
            <v>3.2599999999999997E-2</v>
          </cell>
        </row>
        <row r="839">
          <cell r="A839" t="str">
            <v>53.1.6.E</v>
          </cell>
          <cell r="B839">
            <v>53</v>
          </cell>
          <cell r="C839">
            <v>1</v>
          </cell>
          <cell r="D839">
            <v>6</v>
          </cell>
          <cell r="E839" t="str">
            <v>E</v>
          </cell>
          <cell r="F839">
            <v>3.2599999999999997E-2</v>
          </cell>
        </row>
        <row r="840">
          <cell r="A840" t="str">
            <v>53.1.6.F</v>
          </cell>
          <cell r="B840">
            <v>53</v>
          </cell>
          <cell r="C840">
            <v>1</v>
          </cell>
          <cell r="D840">
            <v>6</v>
          </cell>
          <cell r="E840" t="str">
            <v>F</v>
          </cell>
          <cell r="F840">
            <v>3.2599999999999997E-2</v>
          </cell>
        </row>
        <row r="841">
          <cell r="A841" t="str">
            <v>53.1.6.I</v>
          </cell>
          <cell r="B841">
            <v>53</v>
          </cell>
          <cell r="C841">
            <v>1</v>
          </cell>
          <cell r="D841">
            <v>6</v>
          </cell>
          <cell r="E841" t="str">
            <v>I</v>
          </cell>
          <cell r="F841">
            <v>3.2599999999999997E-2</v>
          </cell>
        </row>
        <row r="842">
          <cell r="A842" t="str">
            <v>53.1.6.N</v>
          </cell>
          <cell r="B842">
            <v>53</v>
          </cell>
          <cell r="C842">
            <v>1</v>
          </cell>
          <cell r="D842">
            <v>6</v>
          </cell>
          <cell r="E842" t="str">
            <v>N</v>
          </cell>
          <cell r="F842">
            <v>3.2599999999999997E-2</v>
          </cell>
        </row>
        <row r="843">
          <cell r="A843" t="str">
            <v>53.7P.6.N</v>
          </cell>
          <cell r="B843">
            <v>53</v>
          </cell>
          <cell r="C843" t="str">
            <v>7P</v>
          </cell>
          <cell r="D843">
            <v>6</v>
          </cell>
          <cell r="E843" t="str">
            <v>N</v>
          </cell>
          <cell r="F843">
            <v>3.2599999999999997E-2</v>
          </cell>
        </row>
        <row r="844">
          <cell r="A844" t="str">
            <v>53.1.8.0</v>
          </cell>
          <cell r="B844">
            <v>53</v>
          </cell>
          <cell r="C844">
            <v>1</v>
          </cell>
          <cell r="D844">
            <v>8</v>
          </cell>
          <cell r="E844">
            <v>0</v>
          </cell>
          <cell r="F844">
            <v>3.0800000000000001E-2</v>
          </cell>
        </row>
        <row r="845">
          <cell r="A845" t="str">
            <v>53.1.8.A</v>
          </cell>
          <cell r="B845">
            <v>53</v>
          </cell>
          <cell r="C845">
            <v>1</v>
          </cell>
          <cell r="D845">
            <v>8</v>
          </cell>
          <cell r="E845" t="str">
            <v>A</v>
          </cell>
          <cell r="F845">
            <v>3.0800000000000001E-2</v>
          </cell>
        </row>
        <row r="846">
          <cell r="A846" t="str">
            <v>53.1.8.N</v>
          </cell>
          <cell r="B846">
            <v>53</v>
          </cell>
          <cell r="C846">
            <v>1</v>
          </cell>
          <cell r="D846">
            <v>8</v>
          </cell>
          <cell r="E846" t="str">
            <v>N</v>
          </cell>
          <cell r="F846">
            <v>3.0800000000000001E-2</v>
          </cell>
        </row>
        <row r="847">
          <cell r="A847" t="str">
            <v>53.1.10.0</v>
          </cell>
          <cell r="B847">
            <v>53</v>
          </cell>
          <cell r="C847">
            <v>1</v>
          </cell>
          <cell r="D847">
            <v>10</v>
          </cell>
          <cell r="E847">
            <v>0</v>
          </cell>
          <cell r="F847">
            <v>4.5699999999999998E-2</v>
          </cell>
        </row>
        <row r="848">
          <cell r="A848" t="str">
            <v>53.1.10.A</v>
          </cell>
          <cell r="B848">
            <v>53</v>
          </cell>
          <cell r="C848">
            <v>1</v>
          </cell>
          <cell r="D848">
            <v>10</v>
          </cell>
          <cell r="E848" t="str">
            <v>A</v>
          </cell>
          <cell r="F848">
            <v>4.5699999999999998E-2</v>
          </cell>
        </row>
        <row r="849">
          <cell r="A849" t="str">
            <v>53.1.10.F</v>
          </cell>
          <cell r="B849">
            <v>53</v>
          </cell>
          <cell r="C849">
            <v>1</v>
          </cell>
          <cell r="D849">
            <v>10</v>
          </cell>
          <cell r="E849" t="str">
            <v>F</v>
          </cell>
          <cell r="F849">
            <v>4.5699999999999998E-2</v>
          </cell>
        </row>
        <row r="850">
          <cell r="A850" t="str">
            <v>53.1.10.N</v>
          </cell>
          <cell r="B850">
            <v>53</v>
          </cell>
          <cell r="C850">
            <v>1</v>
          </cell>
          <cell r="D850">
            <v>10</v>
          </cell>
          <cell r="E850" t="str">
            <v>N</v>
          </cell>
          <cell r="F850">
            <v>4.5699999999999998E-2</v>
          </cell>
        </row>
        <row r="851">
          <cell r="A851" t="str">
            <v>53.0M.10.N</v>
          </cell>
          <cell r="B851">
            <v>53</v>
          </cell>
          <cell r="C851" t="str">
            <v>0M</v>
          </cell>
          <cell r="D851">
            <v>10</v>
          </cell>
          <cell r="E851" t="str">
            <v>N</v>
          </cell>
          <cell r="F851">
            <v>4.5699999999999998E-2</v>
          </cell>
        </row>
        <row r="852">
          <cell r="A852" t="str">
            <v>53.12.10.N</v>
          </cell>
          <cell r="B852">
            <v>53</v>
          </cell>
          <cell r="C852">
            <v>12</v>
          </cell>
          <cell r="D852">
            <v>10</v>
          </cell>
          <cell r="E852" t="str">
            <v>N</v>
          </cell>
          <cell r="F852">
            <v>4.5699999999999998E-2</v>
          </cell>
        </row>
        <row r="853">
          <cell r="A853" t="str">
            <v>53.1.13.0</v>
          </cell>
          <cell r="B853">
            <v>53</v>
          </cell>
          <cell r="C853">
            <v>1</v>
          </cell>
          <cell r="D853">
            <v>13</v>
          </cell>
          <cell r="E853">
            <v>0</v>
          </cell>
          <cell r="F853">
            <v>0.2</v>
          </cell>
        </row>
        <row r="854">
          <cell r="A854" t="str">
            <v>53.1.13.A</v>
          </cell>
          <cell r="B854">
            <v>53</v>
          </cell>
          <cell r="C854">
            <v>1</v>
          </cell>
          <cell r="D854">
            <v>13</v>
          </cell>
          <cell r="E854" t="str">
            <v>A</v>
          </cell>
          <cell r="F854">
            <v>0.2</v>
          </cell>
        </row>
        <row r="855">
          <cell r="A855" t="str">
            <v>53.1.13.I</v>
          </cell>
          <cell r="B855">
            <v>53</v>
          </cell>
          <cell r="C855">
            <v>1</v>
          </cell>
          <cell r="D855">
            <v>13</v>
          </cell>
          <cell r="E855" t="str">
            <v>I</v>
          </cell>
          <cell r="F855">
            <v>0.2</v>
          </cell>
        </row>
        <row r="856">
          <cell r="A856" t="str">
            <v>53.1.13.N</v>
          </cell>
          <cell r="B856">
            <v>53</v>
          </cell>
          <cell r="C856">
            <v>1</v>
          </cell>
          <cell r="D856">
            <v>13</v>
          </cell>
          <cell r="E856" t="str">
            <v>N</v>
          </cell>
          <cell r="F856">
            <v>0.2</v>
          </cell>
        </row>
        <row r="857">
          <cell r="A857" t="str">
            <v>53.7P.13.N</v>
          </cell>
          <cell r="B857">
            <v>53</v>
          </cell>
          <cell r="C857" t="str">
            <v>7P</v>
          </cell>
          <cell r="D857">
            <v>13</v>
          </cell>
          <cell r="E857" t="str">
            <v>N</v>
          </cell>
          <cell r="F857">
            <v>0.2</v>
          </cell>
        </row>
        <row r="858">
          <cell r="A858" t="str">
            <v>53.1.19.A</v>
          </cell>
          <cell r="B858">
            <v>53</v>
          </cell>
          <cell r="C858">
            <v>1</v>
          </cell>
          <cell r="D858">
            <v>19</v>
          </cell>
          <cell r="E858" t="str">
            <v>A</v>
          </cell>
          <cell r="F858">
            <v>2.0799999999999999E-2</v>
          </cell>
        </row>
        <row r="859">
          <cell r="A859" t="str">
            <v>53.1.20.0</v>
          </cell>
          <cell r="B859">
            <v>53</v>
          </cell>
          <cell r="C859">
            <v>1</v>
          </cell>
          <cell r="D859">
            <v>20</v>
          </cell>
          <cell r="E859">
            <v>0</v>
          </cell>
          <cell r="F859">
            <v>3.5400000000000001E-2</v>
          </cell>
        </row>
        <row r="860">
          <cell r="A860" t="str">
            <v>53.1.20.A</v>
          </cell>
          <cell r="B860">
            <v>53</v>
          </cell>
          <cell r="C860">
            <v>1</v>
          </cell>
          <cell r="D860">
            <v>20</v>
          </cell>
          <cell r="E860" t="str">
            <v>A</v>
          </cell>
          <cell r="F860">
            <v>3.5400000000000001E-2</v>
          </cell>
        </row>
        <row r="861">
          <cell r="A861" t="str">
            <v>53.1.20.E</v>
          </cell>
          <cell r="B861">
            <v>53</v>
          </cell>
          <cell r="C861">
            <v>1</v>
          </cell>
          <cell r="D861">
            <v>20</v>
          </cell>
          <cell r="E861" t="str">
            <v>E</v>
          </cell>
          <cell r="F861">
            <v>3.5400000000000001E-2</v>
          </cell>
        </row>
        <row r="862">
          <cell r="A862" t="str">
            <v>53.1.20.I</v>
          </cell>
          <cell r="B862">
            <v>53</v>
          </cell>
          <cell r="C862">
            <v>1</v>
          </cell>
          <cell r="D862">
            <v>20</v>
          </cell>
          <cell r="E862" t="str">
            <v>I</v>
          </cell>
          <cell r="F862">
            <v>3.5400000000000001E-2</v>
          </cell>
        </row>
        <row r="863">
          <cell r="A863" t="str">
            <v>53.1.20.N</v>
          </cell>
          <cell r="B863">
            <v>53</v>
          </cell>
          <cell r="C863">
            <v>1</v>
          </cell>
          <cell r="D863">
            <v>20</v>
          </cell>
          <cell r="E863" t="str">
            <v>N</v>
          </cell>
          <cell r="F863">
            <v>3.5400000000000001E-2</v>
          </cell>
        </row>
        <row r="864">
          <cell r="A864" t="str">
            <v>53.7P.20.N</v>
          </cell>
          <cell r="B864">
            <v>53</v>
          </cell>
          <cell r="C864" t="str">
            <v>7P</v>
          </cell>
          <cell r="D864">
            <v>20</v>
          </cell>
          <cell r="E864" t="str">
            <v>N</v>
          </cell>
          <cell r="F864">
            <v>3.5400000000000001E-2</v>
          </cell>
        </row>
        <row r="865">
          <cell r="A865" t="str">
            <v>53.1.21.0</v>
          </cell>
          <cell r="B865">
            <v>53</v>
          </cell>
          <cell r="C865">
            <v>1</v>
          </cell>
          <cell r="D865">
            <v>21</v>
          </cell>
          <cell r="E865">
            <v>0</v>
          </cell>
          <cell r="F865">
            <v>4.2900000000000001E-2</v>
          </cell>
        </row>
        <row r="866">
          <cell r="A866" t="str">
            <v>53.1.21.A</v>
          </cell>
          <cell r="B866">
            <v>53</v>
          </cell>
          <cell r="C866">
            <v>1</v>
          </cell>
          <cell r="D866">
            <v>21</v>
          </cell>
          <cell r="E866" t="str">
            <v>A</v>
          </cell>
          <cell r="F866">
            <v>4.2900000000000001E-2</v>
          </cell>
        </row>
        <row r="867">
          <cell r="A867" t="str">
            <v>53.1.21.C</v>
          </cell>
          <cell r="B867">
            <v>53</v>
          </cell>
          <cell r="C867">
            <v>1</v>
          </cell>
          <cell r="D867">
            <v>21</v>
          </cell>
          <cell r="E867" t="str">
            <v>C</v>
          </cell>
          <cell r="F867">
            <v>4.2900000000000001E-2</v>
          </cell>
        </row>
        <row r="868">
          <cell r="A868" t="str">
            <v>53.1.21.E</v>
          </cell>
          <cell r="B868">
            <v>53</v>
          </cell>
          <cell r="C868">
            <v>1</v>
          </cell>
          <cell r="D868">
            <v>21</v>
          </cell>
          <cell r="E868" t="str">
            <v>E</v>
          </cell>
          <cell r="F868">
            <v>4.2900000000000001E-2</v>
          </cell>
        </row>
        <row r="869">
          <cell r="A869" t="str">
            <v>53.1.21.F</v>
          </cell>
          <cell r="B869">
            <v>53</v>
          </cell>
          <cell r="C869">
            <v>1</v>
          </cell>
          <cell r="D869">
            <v>21</v>
          </cell>
          <cell r="E869" t="str">
            <v>F</v>
          </cell>
          <cell r="F869">
            <v>4.2900000000000001E-2</v>
          </cell>
        </row>
        <row r="870">
          <cell r="A870" t="str">
            <v>53.1.21.I</v>
          </cell>
          <cell r="B870">
            <v>53</v>
          </cell>
          <cell r="C870">
            <v>1</v>
          </cell>
          <cell r="D870">
            <v>21</v>
          </cell>
          <cell r="E870" t="str">
            <v>I</v>
          </cell>
          <cell r="F870">
            <v>4.2900000000000001E-2</v>
          </cell>
        </row>
        <row r="871">
          <cell r="A871" t="str">
            <v>53.1.21.N</v>
          </cell>
          <cell r="B871">
            <v>53</v>
          </cell>
          <cell r="C871">
            <v>1</v>
          </cell>
          <cell r="D871">
            <v>21</v>
          </cell>
          <cell r="E871" t="str">
            <v>N</v>
          </cell>
          <cell r="F871">
            <v>4.2900000000000001E-2</v>
          </cell>
        </row>
        <row r="872">
          <cell r="A872" t="str">
            <v>53.7P.21.N</v>
          </cell>
          <cell r="B872">
            <v>53</v>
          </cell>
          <cell r="C872" t="str">
            <v>7P</v>
          </cell>
          <cell r="D872">
            <v>21</v>
          </cell>
          <cell r="E872" t="str">
            <v>N</v>
          </cell>
          <cell r="F872">
            <v>4.2900000000000001E-2</v>
          </cell>
        </row>
        <row r="873">
          <cell r="A873" t="str">
            <v>53.1.22.0</v>
          </cell>
          <cell r="B873">
            <v>53</v>
          </cell>
          <cell r="C873">
            <v>1</v>
          </cell>
          <cell r="D873">
            <v>22</v>
          </cell>
          <cell r="E873">
            <v>0</v>
          </cell>
          <cell r="F873">
            <v>2.6599999999999999E-2</v>
          </cell>
        </row>
        <row r="874">
          <cell r="A874" t="str">
            <v>53.1.22.A</v>
          </cell>
          <cell r="B874">
            <v>53</v>
          </cell>
          <cell r="C874">
            <v>1</v>
          </cell>
          <cell r="D874">
            <v>22</v>
          </cell>
          <cell r="E874" t="str">
            <v>A</v>
          </cell>
          <cell r="F874">
            <v>2.6599999999999999E-2</v>
          </cell>
        </row>
        <row r="875">
          <cell r="A875" t="str">
            <v>53.1.23.0</v>
          </cell>
          <cell r="B875">
            <v>53</v>
          </cell>
          <cell r="C875">
            <v>1</v>
          </cell>
          <cell r="D875">
            <v>23</v>
          </cell>
          <cell r="E875">
            <v>0</v>
          </cell>
          <cell r="F875">
            <v>2.86E-2</v>
          </cell>
        </row>
        <row r="876">
          <cell r="A876" t="str">
            <v>53.1.23.A</v>
          </cell>
          <cell r="B876">
            <v>53</v>
          </cell>
          <cell r="C876">
            <v>1</v>
          </cell>
          <cell r="D876">
            <v>23</v>
          </cell>
          <cell r="E876" t="str">
            <v>A</v>
          </cell>
          <cell r="F876">
            <v>2.86E-2</v>
          </cell>
        </row>
        <row r="877">
          <cell r="A877" t="str">
            <v>53.1.23.E</v>
          </cell>
          <cell r="B877">
            <v>53</v>
          </cell>
          <cell r="C877">
            <v>1</v>
          </cell>
          <cell r="D877">
            <v>23</v>
          </cell>
          <cell r="E877" t="str">
            <v>E</v>
          </cell>
          <cell r="F877">
            <v>2.86E-2</v>
          </cell>
        </row>
        <row r="878">
          <cell r="A878" t="str">
            <v>53.1.23.I</v>
          </cell>
          <cell r="B878">
            <v>53</v>
          </cell>
          <cell r="C878">
            <v>1</v>
          </cell>
          <cell r="D878">
            <v>23</v>
          </cell>
          <cell r="E878" t="str">
            <v>I</v>
          </cell>
          <cell r="F878">
            <v>2.86E-2</v>
          </cell>
        </row>
        <row r="879">
          <cell r="A879" t="str">
            <v>53.1.23.N</v>
          </cell>
          <cell r="B879">
            <v>53</v>
          </cell>
          <cell r="C879">
            <v>1</v>
          </cell>
          <cell r="D879">
            <v>23</v>
          </cell>
          <cell r="E879" t="str">
            <v>N</v>
          </cell>
          <cell r="F879">
            <v>2.86E-2</v>
          </cell>
        </row>
        <row r="880">
          <cell r="A880" t="str">
            <v>53.1.24.0</v>
          </cell>
          <cell r="B880">
            <v>53</v>
          </cell>
          <cell r="C880">
            <v>1</v>
          </cell>
          <cell r="D880">
            <v>24</v>
          </cell>
          <cell r="E880">
            <v>0</v>
          </cell>
          <cell r="F880">
            <v>3.5400000000000001E-2</v>
          </cell>
        </row>
        <row r="881">
          <cell r="A881" t="str">
            <v>53.1.24.A</v>
          </cell>
          <cell r="B881">
            <v>53</v>
          </cell>
          <cell r="C881">
            <v>1</v>
          </cell>
          <cell r="D881">
            <v>24</v>
          </cell>
          <cell r="E881" t="str">
            <v>A</v>
          </cell>
          <cell r="F881">
            <v>3.5400000000000001E-2</v>
          </cell>
        </row>
        <row r="882">
          <cell r="A882" t="str">
            <v>53.1.24.E</v>
          </cell>
          <cell r="B882">
            <v>53</v>
          </cell>
          <cell r="C882">
            <v>1</v>
          </cell>
          <cell r="D882">
            <v>24</v>
          </cell>
          <cell r="E882" t="str">
            <v>E</v>
          </cell>
          <cell r="F882">
            <v>3.5400000000000001E-2</v>
          </cell>
        </row>
        <row r="883">
          <cell r="A883" t="str">
            <v>53.1.24.I</v>
          </cell>
          <cell r="B883">
            <v>53</v>
          </cell>
          <cell r="C883">
            <v>1</v>
          </cell>
          <cell r="D883">
            <v>24</v>
          </cell>
          <cell r="E883" t="str">
            <v>I</v>
          </cell>
          <cell r="F883">
            <v>3.5400000000000001E-2</v>
          </cell>
        </row>
        <row r="884">
          <cell r="A884" t="str">
            <v>53.1.25.0</v>
          </cell>
          <cell r="B884">
            <v>53</v>
          </cell>
          <cell r="C884">
            <v>1</v>
          </cell>
          <cell r="D884">
            <v>25</v>
          </cell>
          <cell r="E884">
            <v>0</v>
          </cell>
          <cell r="F884">
            <v>2.6599999999999999E-2</v>
          </cell>
        </row>
        <row r="885">
          <cell r="A885" t="str">
            <v>53.1.25.2</v>
          </cell>
          <cell r="B885">
            <v>53</v>
          </cell>
          <cell r="C885">
            <v>1</v>
          </cell>
          <cell r="D885">
            <v>25</v>
          </cell>
          <cell r="E885">
            <v>2</v>
          </cell>
          <cell r="F885">
            <v>2.6599999999999999E-2</v>
          </cell>
        </row>
        <row r="886">
          <cell r="A886" t="str">
            <v>53.1.25.A</v>
          </cell>
          <cell r="B886">
            <v>53</v>
          </cell>
          <cell r="C886">
            <v>1</v>
          </cell>
          <cell r="D886">
            <v>25</v>
          </cell>
          <cell r="E886" t="str">
            <v>A</v>
          </cell>
          <cell r="F886">
            <v>2.6599999999999999E-2</v>
          </cell>
        </row>
        <row r="887">
          <cell r="A887" t="str">
            <v>53.1.25.E</v>
          </cell>
          <cell r="B887">
            <v>53</v>
          </cell>
          <cell r="C887">
            <v>1</v>
          </cell>
          <cell r="D887">
            <v>25</v>
          </cell>
          <cell r="E887" t="str">
            <v>E</v>
          </cell>
          <cell r="F887">
            <v>2.6599999999999999E-2</v>
          </cell>
        </row>
        <row r="888">
          <cell r="A888" t="str">
            <v>53.1.25.F</v>
          </cell>
          <cell r="B888">
            <v>53</v>
          </cell>
          <cell r="C888">
            <v>1</v>
          </cell>
          <cell r="D888">
            <v>25</v>
          </cell>
          <cell r="E888" t="str">
            <v>F</v>
          </cell>
          <cell r="F888">
            <v>2.6599999999999999E-2</v>
          </cell>
        </row>
        <row r="889">
          <cell r="A889" t="str">
            <v>53.1.25.I</v>
          </cell>
          <cell r="B889">
            <v>53</v>
          </cell>
          <cell r="C889">
            <v>1</v>
          </cell>
          <cell r="D889">
            <v>25</v>
          </cell>
          <cell r="E889" t="str">
            <v>I</v>
          </cell>
          <cell r="F889">
            <v>2.6599999999999999E-2</v>
          </cell>
        </row>
        <row r="890">
          <cell r="A890" t="str">
            <v>53.1.25.N</v>
          </cell>
          <cell r="B890">
            <v>53</v>
          </cell>
          <cell r="C890">
            <v>1</v>
          </cell>
          <cell r="D890">
            <v>25</v>
          </cell>
          <cell r="E890" t="str">
            <v>N</v>
          </cell>
          <cell r="F890">
            <v>2.6599999999999999E-2</v>
          </cell>
        </row>
        <row r="891">
          <cell r="A891" t="str">
            <v>53.7P.25.N</v>
          </cell>
          <cell r="B891">
            <v>53</v>
          </cell>
          <cell r="C891" t="str">
            <v>7P</v>
          </cell>
          <cell r="D891">
            <v>25</v>
          </cell>
          <cell r="E891" t="str">
            <v>N</v>
          </cell>
          <cell r="F891">
            <v>2.6599999999999999E-2</v>
          </cell>
        </row>
        <row r="892">
          <cell r="A892" t="str">
            <v>53.1.26.0</v>
          </cell>
          <cell r="B892">
            <v>53</v>
          </cell>
          <cell r="C892">
            <v>1</v>
          </cell>
          <cell r="D892">
            <v>26</v>
          </cell>
          <cell r="E892">
            <v>0</v>
          </cell>
          <cell r="F892">
            <v>2.6499999999999999E-2</v>
          </cell>
        </row>
        <row r="893">
          <cell r="A893" t="str">
            <v>53.1.26.2</v>
          </cell>
          <cell r="B893">
            <v>53</v>
          </cell>
          <cell r="C893">
            <v>1</v>
          </cell>
          <cell r="D893">
            <v>26</v>
          </cell>
          <cell r="E893">
            <v>2</v>
          </cell>
          <cell r="F893">
            <v>2.6499999999999999E-2</v>
          </cell>
        </row>
        <row r="894">
          <cell r="A894" t="str">
            <v>53.1.26.A</v>
          </cell>
          <cell r="B894">
            <v>53</v>
          </cell>
          <cell r="C894">
            <v>1</v>
          </cell>
          <cell r="D894">
            <v>26</v>
          </cell>
          <cell r="E894" t="str">
            <v>A</v>
          </cell>
          <cell r="F894">
            <v>2.6499999999999999E-2</v>
          </cell>
        </row>
        <row r="895">
          <cell r="A895" t="str">
            <v>53.1.26.E</v>
          </cell>
          <cell r="B895">
            <v>53</v>
          </cell>
          <cell r="C895">
            <v>1</v>
          </cell>
          <cell r="D895">
            <v>26</v>
          </cell>
          <cell r="E895" t="str">
            <v>E</v>
          </cell>
          <cell r="F895">
            <v>2.6499999999999999E-2</v>
          </cell>
        </row>
        <row r="896">
          <cell r="A896" t="str">
            <v>53.1.26.F</v>
          </cell>
          <cell r="B896">
            <v>53</v>
          </cell>
          <cell r="C896">
            <v>1</v>
          </cell>
          <cell r="D896">
            <v>26</v>
          </cell>
          <cell r="E896" t="str">
            <v>F</v>
          </cell>
          <cell r="F896">
            <v>2.6499999999999999E-2</v>
          </cell>
        </row>
        <row r="897">
          <cell r="A897" t="str">
            <v>53.1.26.I</v>
          </cell>
          <cell r="B897">
            <v>53</v>
          </cell>
          <cell r="C897">
            <v>1</v>
          </cell>
          <cell r="D897">
            <v>26</v>
          </cell>
          <cell r="E897" t="str">
            <v>I</v>
          </cell>
          <cell r="F897">
            <v>2.6499999999999999E-2</v>
          </cell>
        </row>
        <row r="898">
          <cell r="A898" t="str">
            <v>53.1.26.N</v>
          </cell>
          <cell r="B898">
            <v>53</v>
          </cell>
          <cell r="C898">
            <v>1</v>
          </cell>
          <cell r="D898">
            <v>26</v>
          </cell>
          <cell r="E898" t="str">
            <v>N</v>
          </cell>
          <cell r="F898">
            <v>2.6499999999999999E-2</v>
          </cell>
        </row>
        <row r="899">
          <cell r="A899" t="str">
            <v>53.7P.26.N</v>
          </cell>
          <cell r="B899">
            <v>53</v>
          </cell>
          <cell r="C899" t="str">
            <v>7P</v>
          </cell>
          <cell r="D899">
            <v>26</v>
          </cell>
          <cell r="E899" t="str">
            <v>N</v>
          </cell>
          <cell r="F899">
            <v>2.6499999999999999E-2</v>
          </cell>
        </row>
        <row r="900">
          <cell r="A900" t="str">
            <v>53.1.27.0</v>
          </cell>
          <cell r="B900">
            <v>53</v>
          </cell>
          <cell r="C900">
            <v>1</v>
          </cell>
          <cell r="D900">
            <v>27</v>
          </cell>
          <cell r="E900">
            <v>0</v>
          </cell>
          <cell r="F900">
            <v>2.6599999999999999E-2</v>
          </cell>
        </row>
        <row r="901">
          <cell r="A901" t="str">
            <v>53.1.27.A</v>
          </cell>
          <cell r="B901">
            <v>53</v>
          </cell>
          <cell r="C901">
            <v>1</v>
          </cell>
          <cell r="D901">
            <v>27</v>
          </cell>
          <cell r="E901" t="str">
            <v>A</v>
          </cell>
          <cell r="F901">
            <v>2.6599999999999999E-2</v>
          </cell>
        </row>
        <row r="902">
          <cell r="A902" t="str">
            <v>53.1.27.N</v>
          </cell>
          <cell r="B902">
            <v>53</v>
          </cell>
          <cell r="C902">
            <v>1</v>
          </cell>
          <cell r="D902">
            <v>27</v>
          </cell>
          <cell r="E902" t="str">
            <v>N</v>
          </cell>
          <cell r="F902">
            <v>2.6599999999999999E-2</v>
          </cell>
        </row>
        <row r="903">
          <cell r="A903" t="str">
            <v>53.1.28.0</v>
          </cell>
          <cell r="B903">
            <v>53</v>
          </cell>
          <cell r="C903">
            <v>1</v>
          </cell>
          <cell r="D903">
            <v>28</v>
          </cell>
          <cell r="E903">
            <v>0</v>
          </cell>
          <cell r="F903">
            <v>2.5600000000000001E-2</v>
          </cell>
        </row>
        <row r="904">
          <cell r="A904" t="str">
            <v>53.1.28.2</v>
          </cell>
          <cell r="B904">
            <v>53</v>
          </cell>
          <cell r="C904">
            <v>1</v>
          </cell>
          <cell r="D904">
            <v>28</v>
          </cell>
          <cell r="E904">
            <v>2</v>
          </cell>
          <cell r="F904">
            <v>2.5600000000000001E-2</v>
          </cell>
        </row>
        <row r="905">
          <cell r="A905" t="str">
            <v>53.1.28.A</v>
          </cell>
          <cell r="B905">
            <v>53</v>
          </cell>
          <cell r="C905">
            <v>1</v>
          </cell>
          <cell r="D905">
            <v>28</v>
          </cell>
          <cell r="E905" t="str">
            <v>A</v>
          </cell>
          <cell r="F905">
            <v>2.5600000000000001E-2</v>
          </cell>
        </row>
        <row r="906">
          <cell r="A906" t="str">
            <v>53.1.28.F</v>
          </cell>
          <cell r="B906">
            <v>53</v>
          </cell>
          <cell r="C906">
            <v>1</v>
          </cell>
          <cell r="D906">
            <v>28</v>
          </cell>
          <cell r="E906" t="str">
            <v>F</v>
          </cell>
          <cell r="F906">
            <v>2.5600000000000001E-2</v>
          </cell>
        </row>
        <row r="907">
          <cell r="A907" t="str">
            <v>53.1.28.N</v>
          </cell>
          <cell r="B907">
            <v>53</v>
          </cell>
          <cell r="C907">
            <v>1</v>
          </cell>
          <cell r="D907">
            <v>28</v>
          </cell>
          <cell r="E907" t="str">
            <v>N</v>
          </cell>
          <cell r="F907">
            <v>2.5600000000000001E-2</v>
          </cell>
        </row>
        <row r="908">
          <cell r="A908" t="str">
            <v>53.0M.28.N</v>
          </cell>
          <cell r="B908">
            <v>53</v>
          </cell>
          <cell r="C908" t="str">
            <v>0M</v>
          </cell>
          <cell r="D908">
            <v>28</v>
          </cell>
          <cell r="E908" t="str">
            <v>N</v>
          </cell>
          <cell r="F908">
            <v>2.5600000000000001E-2</v>
          </cell>
        </row>
        <row r="909">
          <cell r="A909" t="str">
            <v>53.1.29.0</v>
          </cell>
          <cell r="B909">
            <v>53</v>
          </cell>
          <cell r="C909">
            <v>1</v>
          </cell>
          <cell r="D909">
            <v>29</v>
          </cell>
          <cell r="E909">
            <v>0</v>
          </cell>
          <cell r="F909">
            <v>2.86E-2</v>
          </cell>
        </row>
        <row r="910">
          <cell r="A910" t="str">
            <v>53.1.29.2</v>
          </cell>
          <cell r="B910">
            <v>53</v>
          </cell>
          <cell r="C910">
            <v>1</v>
          </cell>
          <cell r="D910">
            <v>29</v>
          </cell>
          <cell r="E910">
            <v>2</v>
          </cell>
          <cell r="F910">
            <v>2.86E-2</v>
          </cell>
        </row>
        <row r="911">
          <cell r="A911" t="str">
            <v>53.1.29.A</v>
          </cell>
          <cell r="B911">
            <v>53</v>
          </cell>
          <cell r="C911">
            <v>1</v>
          </cell>
          <cell r="D911">
            <v>29</v>
          </cell>
          <cell r="E911" t="str">
            <v>A</v>
          </cell>
          <cell r="F911">
            <v>2.86E-2</v>
          </cell>
        </row>
        <row r="912">
          <cell r="A912" t="str">
            <v>53.1.29.C</v>
          </cell>
          <cell r="B912">
            <v>53</v>
          </cell>
          <cell r="C912">
            <v>1</v>
          </cell>
          <cell r="D912">
            <v>29</v>
          </cell>
          <cell r="E912" t="str">
            <v>C</v>
          </cell>
          <cell r="F912">
            <v>2.86E-2</v>
          </cell>
        </row>
        <row r="913">
          <cell r="A913" t="str">
            <v>53.1.29.E</v>
          </cell>
          <cell r="B913">
            <v>53</v>
          </cell>
          <cell r="C913">
            <v>1</v>
          </cell>
          <cell r="D913">
            <v>29</v>
          </cell>
          <cell r="E913" t="str">
            <v>E</v>
          </cell>
          <cell r="F913">
            <v>2.86E-2</v>
          </cell>
        </row>
        <row r="914">
          <cell r="A914" t="str">
            <v>53.1.29.F</v>
          </cell>
          <cell r="B914">
            <v>53</v>
          </cell>
          <cell r="C914">
            <v>1</v>
          </cell>
          <cell r="D914">
            <v>29</v>
          </cell>
          <cell r="E914" t="str">
            <v>F</v>
          </cell>
          <cell r="F914">
            <v>2.86E-2</v>
          </cell>
        </row>
        <row r="915">
          <cell r="A915" t="str">
            <v>53.1.29.I</v>
          </cell>
          <cell r="B915">
            <v>53</v>
          </cell>
          <cell r="C915">
            <v>1</v>
          </cell>
          <cell r="D915">
            <v>29</v>
          </cell>
          <cell r="E915" t="str">
            <v>I</v>
          </cell>
          <cell r="F915">
            <v>2.86E-2</v>
          </cell>
        </row>
        <row r="916">
          <cell r="A916" t="str">
            <v>53.1.29.N</v>
          </cell>
          <cell r="B916">
            <v>53</v>
          </cell>
          <cell r="C916">
            <v>1</v>
          </cell>
          <cell r="D916">
            <v>29</v>
          </cell>
          <cell r="E916" t="str">
            <v>N</v>
          </cell>
          <cell r="F916">
            <v>2.86E-2</v>
          </cell>
        </row>
        <row r="917">
          <cell r="A917" t="str">
            <v>53.7P.29.N</v>
          </cell>
          <cell r="B917">
            <v>53</v>
          </cell>
          <cell r="C917" t="str">
            <v>7P</v>
          </cell>
          <cell r="D917">
            <v>29</v>
          </cell>
          <cell r="E917" t="str">
            <v>N</v>
          </cell>
          <cell r="F917">
            <v>2.86E-2</v>
          </cell>
        </row>
        <row r="918">
          <cell r="A918" t="str">
            <v>53.1.30.0</v>
          </cell>
          <cell r="B918">
            <v>53</v>
          </cell>
          <cell r="C918">
            <v>1</v>
          </cell>
          <cell r="D918">
            <v>30</v>
          </cell>
          <cell r="E918">
            <v>0</v>
          </cell>
          <cell r="F918">
            <v>2.9000000000000001E-2</v>
          </cell>
        </row>
        <row r="919">
          <cell r="A919" t="str">
            <v>53.1.30.1</v>
          </cell>
          <cell r="B919">
            <v>53</v>
          </cell>
          <cell r="C919">
            <v>1</v>
          </cell>
          <cell r="D919">
            <v>30</v>
          </cell>
          <cell r="E919">
            <v>1</v>
          </cell>
          <cell r="F919">
            <v>2.9000000000000001E-2</v>
          </cell>
        </row>
        <row r="920">
          <cell r="A920" t="str">
            <v>53.1.30.2</v>
          </cell>
          <cell r="B920">
            <v>53</v>
          </cell>
          <cell r="C920">
            <v>1</v>
          </cell>
          <cell r="D920">
            <v>30</v>
          </cell>
          <cell r="E920">
            <v>2</v>
          </cell>
          <cell r="F920">
            <v>2.9000000000000001E-2</v>
          </cell>
        </row>
        <row r="921">
          <cell r="A921" t="str">
            <v>53.1.30.A</v>
          </cell>
          <cell r="B921">
            <v>53</v>
          </cell>
          <cell r="C921">
            <v>1</v>
          </cell>
          <cell r="D921">
            <v>30</v>
          </cell>
          <cell r="E921" t="str">
            <v>A</v>
          </cell>
          <cell r="F921">
            <v>2.9000000000000001E-2</v>
          </cell>
        </row>
        <row r="922">
          <cell r="A922" t="str">
            <v>53.1.30.E</v>
          </cell>
          <cell r="B922">
            <v>53</v>
          </cell>
          <cell r="C922">
            <v>1</v>
          </cell>
          <cell r="D922">
            <v>30</v>
          </cell>
          <cell r="E922" t="str">
            <v>E</v>
          </cell>
          <cell r="F922">
            <v>2.9000000000000001E-2</v>
          </cell>
        </row>
        <row r="923">
          <cell r="A923" t="str">
            <v>53.1.30.F</v>
          </cell>
          <cell r="B923">
            <v>53</v>
          </cell>
          <cell r="C923">
            <v>1</v>
          </cell>
          <cell r="D923">
            <v>30</v>
          </cell>
          <cell r="E923" t="str">
            <v>F</v>
          </cell>
          <cell r="F923">
            <v>2.9000000000000001E-2</v>
          </cell>
        </row>
        <row r="924">
          <cell r="A924" t="str">
            <v>53.1.30.I</v>
          </cell>
          <cell r="B924">
            <v>53</v>
          </cell>
          <cell r="C924">
            <v>1</v>
          </cell>
          <cell r="D924">
            <v>30</v>
          </cell>
          <cell r="E924" t="str">
            <v>I</v>
          </cell>
          <cell r="F924">
            <v>2.9000000000000001E-2</v>
          </cell>
        </row>
        <row r="925">
          <cell r="A925" t="str">
            <v>53.1.30.N</v>
          </cell>
          <cell r="B925">
            <v>53</v>
          </cell>
          <cell r="C925">
            <v>1</v>
          </cell>
          <cell r="D925">
            <v>30</v>
          </cell>
          <cell r="E925" t="str">
            <v>N</v>
          </cell>
          <cell r="F925">
            <v>2.9000000000000001E-2</v>
          </cell>
        </row>
        <row r="926">
          <cell r="A926" t="str">
            <v>53.7P.30.N</v>
          </cell>
          <cell r="B926">
            <v>53</v>
          </cell>
          <cell r="C926" t="str">
            <v>7P</v>
          </cell>
          <cell r="D926">
            <v>30</v>
          </cell>
          <cell r="E926" t="str">
            <v>N</v>
          </cell>
          <cell r="F926">
            <v>2.9000000000000001E-2</v>
          </cell>
        </row>
        <row r="927">
          <cell r="A927" t="str">
            <v>53.1.31.0</v>
          </cell>
          <cell r="B927">
            <v>53</v>
          </cell>
          <cell r="C927">
            <v>1</v>
          </cell>
          <cell r="D927">
            <v>31</v>
          </cell>
          <cell r="E927">
            <v>0</v>
          </cell>
          <cell r="F927">
            <v>2.23E-2</v>
          </cell>
        </row>
        <row r="928">
          <cell r="A928" t="str">
            <v>53.1.31.A</v>
          </cell>
          <cell r="B928">
            <v>53</v>
          </cell>
          <cell r="C928">
            <v>1</v>
          </cell>
          <cell r="D928">
            <v>31</v>
          </cell>
          <cell r="E928" t="str">
            <v>A</v>
          </cell>
          <cell r="F928">
            <v>2.23E-2</v>
          </cell>
        </row>
        <row r="929">
          <cell r="A929" t="str">
            <v>53.1.31.C</v>
          </cell>
          <cell r="B929">
            <v>53</v>
          </cell>
          <cell r="C929">
            <v>1</v>
          </cell>
          <cell r="D929">
            <v>31</v>
          </cell>
          <cell r="E929" t="str">
            <v>C</v>
          </cell>
          <cell r="F929">
            <v>2.23E-2</v>
          </cell>
        </row>
        <row r="930">
          <cell r="A930" t="str">
            <v>53.1.31.E</v>
          </cell>
          <cell r="B930">
            <v>53</v>
          </cell>
          <cell r="C930">
            <v>1</v>
          </cell>
          <cell r="D930">
            <v>31</v>
          </cell>
          <cell r="E930" t="str">
            <v>E</v>
          </cell>
          <cell r="F930">
            <v>2.23E-2</v>
          </cell>
        </row>
        <row r="931">
          <cell r="A931" t="str">
            <v>53.1.31.F</v>
          </cell>
          <cell r="B931">
            <v>53</v>
          </cell>
          <cell r="C931">
            <v>1</v>
          </cell>
          <cell r="D931">
            <v>31</v>
          </cell>
          <cell r="E931" t="str">
            <v>F</v>
          </cell>
          <cell r="F931">
            <v>2.23E-2</v>
          </cell>
        </row>
        <row r="932">
          <cell r="A932" t="str">
            <v>53.1.31.I</v>
          </cell>
          <cell r="B932">
            <v>53</v>
          </cell>
          <cell r="C932">
            <v>1</v>
          </cell>
          <cell r="D932">
            <v>31</v>
          </cell>
          <cell r="E932" t="str">
            <v>I</v>
          </cell>
          <cell r="F932">
            <v>2.23E-2</v>
          </cell>
        </row>
        <row r="933">
          <cell r="A933" t="str">
            <v>53.1.31.N</v>
          </cell>
          <cell r="B933">
            <v>53</v>
          </cell>
          <cell r="C933">
            <v>1</v>
          </cell>
          <cell r="D933">
            <v>31</v>
          </cell>
          <cell r="E933" t="str">
            <v>N</v>
          </cell>
          <cell r="F933">
            <v>2.23E-2</v>
          </cell>
        </row>
        <row r="934">
          <cell r="A934" t="str">
            <v>53.7P.31.N</v>
          </cell>
          <cell r="B934">
            <v>53</v>
          </cell>
          <cell r="C934" t="str">
            <v>7P</v>
          </cell>
          <cell r="D934">
            <v>31</v>
          </cell>
          <cell r="E934" t="str">
            <v>N</v>
          </cell>
          <cell r="F934">
            <v>2.23E-2</v>
          </cell>
        </row>
        <row r="935">
          <cell r="A935" t="str">
            <v>53.1.33.0</v>
          </cell>
          <cell r="B935">
            <v>53</v>
          </cell>
          <cell r="C935">
            <v>1</v>
          </cell>
          <cell r="D935">
            <v>33</v>
          </cell>
          <cell r="E935">
            <v>0</v>
          </cell>
          <cell r="F935">
            <v>2.5899999999999999E-2</v>
          </cell>
        </row>
        <row r="936">
          <cell r="A936" t="str">
            <v>53.1.33.A</v>
          </cell>
          <cell r="B936">
            <v>53</v>
          </cell>
          <cell r="C936">
            <v>1</v>
          </cell>
          <cell r="D936">
            <v>33</v>
          </cell>
          <cell r="E936" t="str">
            <v>A</v>
          </cell>
          <cell r="F936">
            <v>2.5899999999999999E-2</v>
          </cell>
        </row>
        <row r="937">
          <cell r="A937" t="str">
            <v>53.1.35.0</v>
          </cell>
          <cell r="B937">
            <v>53</v>
          </cell>
          <cell r="C937">
            <v>1</v>
          </cell>
          <cell r="D937">
            <v>35</v>
          </cell>
          <cell r="E937">
            <v>0</v>
          </cell>
          <cell r="F937">
            <v>2.5899999999999999E-2</v>
          </cell>
        </row>
        <row r="938">
          <cell r="A938" t="str">
            <v>53.1.35.2</v>
          </cell>
          <cell r="B938">
            <v>53</v>
          </cell>
          <cell r="C938">
            <v>1</v>
          </cell>
          <cell r="D938">
            <v>35</v>
          </cell>
          <cell r="E938">
            <v>2</v>
          </cell>
          <cell r="F938">
            <v>2.5899999999999999E-2</v>
          </cell>
        </row>
        <row r="939">
          <cell r="A939" t="str">
            <v>53.1.35.A</v>
          </cell>
          <cell r="B939">
            <v>53</v>
          </cell>
          <cell r="C939">
            <v>1</v>
          </cell>
          <cell r="D939">
            <v>35</v>
          </cell>
          <cell r="E939" t="str">
            <v>A</v>
          </cell>
          <cell r="F939">
            <v>2.5899999999999999E-2</v>
          </cell>
        </row>
        <row r="940">
          <cell r="A940" t="str">
            <v>53.1.35.C</v>
          </cell>
          <cell r="B940">
            <v>53</v>
          </cell>
          <cell r="C940">
            <v>1</v>
          </cell>
          <cell r="D940">
            <v>35</v>
          </cell>
          <cell r="E940" t="str">
            <v>C</v>
          </cell>
          <cell r="F940">
            <v>2.5899999999999999E-2</v>
          </cell>
        </row>
        <row r="941">
          <cell r="A941" t="str">
            <v>53.1.35.E</v>
          </cell>
          <cell r="B941">
            <v>53</v>
          </cell>
          <cell r="C941">
            <v>1</v>
          </cell>
          <cell r="D941">
            <v>35</v>
          </cell>
          <cell r="E941" t="str">
            <v>E</v>
          </cell>
          <cell r="F941">
            <v>2.5899999999999999E-2</v>
          </cell>
        </row>
        <row r="942">
          <cell r="A942" t="str">
            <v>53.1.35.F</v>
          </cell>
          <cell r="B942">
            <v>53</v>
          </cell>
          <cell r="C942">
            <v>1</v>
          </cell>
          <cell r="D942">
            <v>35</v>
          </cell>
          <cell r="E942" t="str">
            <v>F</v>
          </cell>
          <cell r="F942">
            <v>2.5899999999999999E-2</v>
          </cell>
        </row>
        <row r="943">
          <cell r="A943" t="str">
            <v>53.1.35.I</v>
          </cell>
          <cell r="B943">
            <v>53</v>
          </cell>
          <cell r="C943">
            <v>1</v>
          </cell>
          <cell r="D943">
            <v>35</v>
          </cell>
          <cell r="E943" t="str">
            <v>I</v>
          </cell>
          <cell r="F943">
            <v>2.5899999999999999E-2</v>
          </cell>
        </row>
        <row r="944">
          <cell r="A944" t="str">
            <v>53.1.35.N</v>
          </cell>
          <cell r="B944">
            <v>53</v>
          </cell>
          <cell r="C944">
            <v>1</v>
          </cell>
          <cell r="D944">
            <v>35</v>
          </cell>
          <cell r="E944" t="str">
            <v>N</v>
          </cell>
          <cell r="F944">
            <v>2.5899999999999999E-2</v>
          </cell>
        </row>
        <row r="945">
          <cell r="A945" t="str">
            <v>53.7P.35.N</v>
          </cell>
          <cell r="B945">
            <v>53</v>
          </cell>
          <cell r="C945" t="str">
            <v>7P</v>
          </cell>
          <cell r="D945">
            <v>35</v>
          </cell>
          <cell r="E945" t="str">
            <v>N</v>
          </cell>
          <cell r="F945">
            <v>2.5899999999999999E-2</v>
          </cell>
        </row>
        <row r="946">
          <cell r="A946" t="str">
            <v>53.1.50.0</v>
          </cell>
          <cell r="B946">
            <v>53</v>
          </cell>
          <cell r="C946">
            <v>1</v>
          </cell>
          <cell r="D946">
            <v>50</v>
          </cell>
          <cell r="E946">
            <v>0</v>
          </cell>
          <cell r="F946">
            <v>2.0799999999999999E-2</v>
          </cell>
        </row>
        <row r="947">
          <cell r="A947" t="str">
            <v>53.1.50.2</v>
          </cell>
          <cell r="B947">
            <v>53</v>
          </cell>
          <cell r="C947">
            <v>1</v>
          </cell>
          <cell r="D947">
            <v>50</v>
          </cell>
          <cell r="E947">
            <v>2</v>
          </cell>
          <cell r="F947">
            <v>2.0799999999999999E-2</v>
          </cell>
        </row>
        <row r="948">
          <cell r="A948" t="str">
            <v>53.1.50.A</v>
          </cell>
          <cell r="B948">
            <v>53</v>
          </cell>
          <cell r="C948">
            <v>1</v>
          </cell>
          <cell r="D948">
            <v>50</v>
          </cell>
          <cell r="E948" t="str">
            <v>A</v>
          </cell>
          <cell r="F948">
            <v>2.0799999999999999E-2</v>
          </cell>
        </row>
        <row r="949">
          <cell r="A949" t="str">
            <v>53.1.50.F</v>
          </cell>
          <cell r="B949">
            <v>53</v>
          </cell>
          <cell r="C949">
            <v>1</v>
          </cell>
          <cell r="D949">
            <v>50</v>
          </cell>
          <cell r="E949" t="str">
            <v>F</v>
          </cell>
          <cell r="F949">
            <v>2.0799999999999999E-2</v>
          </cell>
        </row>
        <row r="950">
          <cell r="A950" t="str">
            <v>53.1.50.N</v>
          </cell>
          <cell r="B950">
            <v>53</v>
          </cell>
          <cell r="C950">
            <v>1</v>
          </cell>
          <cell r="D950">
            <v>50</v>
          </cell>
          <cell r="E950" t="str">
            <v>N</v>
          </cell>
          <cell r="F950">
            <v>2.0799999999999999E-2</v>
          </cell>
        </row>
        <row r="951">
          <cell r="A951" t="str">
            <v>53.1.56.0</v>
          </cell>
          <cell r="B951">
            <v>53</v>
          </cell>
          <cell r="C951">
            <v>1</v>
          </cell>
          <cell r="D951">
            <v>56</v>
          </cell>
          <cell r="E951">
            <v>0</v>
          </cell>
          <cell r="F951">
            <v>3.0800000000000001E-2</v>
          </cell>
        </row>
        <row r="952">
          <cell r="A952" t="str">
            <v>53.1.56.A</v>
          </cell>
          <cell r="B952">
            <v>53</v>
          </cell>
          <cell r="C952">
            <v>1</v>
          </cell>
          <cell r="D952">
            <v>56</v>
          </cell>
          <cell r="E952" t="str">
            <v>A</v>
          </cell>
          <cell r="F952">
            <v>3.0800000000000001E-2</v>
          </cell>
        </row>
        <row r="953">
          <cell r="A953" t="str">
            <v>53.1.56.E</v>
          </cell>
          <cell r="B953">
            <v>53</v>
          </cell>
          <cell r="C953">
            <v>1</v>
          </cell>
          <cell r="D953">
            <v>56</v>
          </cell>
          <cell r="E953" t="str">
            <v>E</v>
          </cell>
          <cell r="F953">
            <v>3.0800000000000001E-2</v>
          </cell>
        </row>
        <row r="954">
          <cell r="A954" t="str">
            <v>53.1.56.F</v>
          </cell>
          <cell r="B954">
            <v>53</v>
          </cell>
          <cell r="C954">
            <v>1</v>
          </cell>
          <cell r="D954">
            <v>56</v>
          </cell>
          <cell r="E954" t="str">
            <v>F</v>
          </cell>
          <cell r="F954">
            <v>3.0800000000000001E-2</v>
          </cell>
        </row>
        <row r="955">
          <cell r="A955" t="str">
            <v>53.1.56.I</v>
          </cell>
          <cell r="B955">
            <v>53</v>
          </cell>
          <cell r="C955">
            <v>1</v>
          </cell>
          <cell r="D955">
            <v>56</v>
          </cell>
          <cell r="E955" t="str">
            <v>I</v>
          </cell>
          <cell r="F955">
            <v>3.0800000000000001E-2</v>
          </cell>
        </row>
        <row r="956">
          <cell r="A956" t="str">
            <v>53.1.56.N</v>
          </cell>
          <cell r="B956">
            <v>53</v>
          </cell>
          <cell r="C956">
            <v>1</v>
          </cell>
          <cell r="D956">
            <v>56</v>
          </cell>
          <cell r="E956" t="str">
            <v>N</v>
          </cell>
          <cell r="F956">
            <v>3.0800000000000001E-2</v>
          </cell>
        </row>
        <row r="957">
          <cell r="A957" t="str">
            <v>53.1.58.E</v>
          </cell>
          <cell r="B957">
            <v>53</v>
          </cell>
          <cell r="C957">
            <v>1</v>
          </cell>
          <cell r="D957">
            <v>58</v>
          </cell>
          <cell r="E957" t="str">
            <v>E</v>
          </cell>
          <cell r="F957">
            <v>3.1800000000000002E-2</v>
          </cell>
        </row>
        <row r="958">
          <cell r="A958" t="str">
            <v>53.1.58.F</v>
          </cell>
          <cell r="B958">
            <v>53</v>
          </cell>
          <cell r="C958">
            <v>1</v>
          </cell>
          <cell r="D958">
            <v>58</v>
          </cell>
          <cell r="E958" t="str">
            <v>F</v>
          </cell>
          <cell r="F958">
            <v>3.1800000000000002E-2</v>
          </cell>
        </row>
        <row r="959">
          <cell r="A959" t="str">
            <v>53.1.58.I</v>
          </cell>
          <cell r="B959">
            <v>53</v>
          </cell>
          <cell r="C959">
            <v>1</v>
          </cell>
          <cell r="D959">
            <v>58</v>
          </cell>
          <cell r="E959" t="str">
            <v>I</v>
          </cell>
          <cell r="F959">
            <v>3.1800000000000002E-2</v>
          </cell>
        </row>
        <row r="960">
          <cell r="A960" t="str">
            <v>53.1.58.N</v>
          </cell>
          <cell r="B960">
            <v>53</v>
          </cell>
          <cell r="C960">
            <v>1</v>
          </cell>
          <cell r="D960">
            <v>58</v>
          </cell>
          <cell r="E960" t="str">
            <v>N</v>
          </cell>
          <cell r="F960">
            <v>3.1800000000000002E-2</v>
          </cell>
        </row>
        <row r="961">
          <cell r="A961" t="str">
            <v>53.0U.58.N</v>
          </cell>
          <cell r="B961">
            <v>53</v>
          </cell>
          <cell r="C961" t="str">
            <v>0U</v>
          </cell>
          <cell r="D961">
            <v>58</v>
          </cell>
          <cell r="E961" t="str">
            <v>N</v>
          </cell>
          <cell r="F961">
            <v>3.1800000000000002E-2</v>
          </cell>
        </row>
        <row r="962">
          <cell r="A962" t="str">
            <v>53.1.65.0</v>
          </cell>
          <cell r="B962">
            <v>53</v>
          </cell>
          <cell r="C962">
            <v>1</v>
          </cell>
          <cell r="D962">
            <v>65</v>
          </cell>
          <cell r="E962">
            <v>0</v>
          </cell>
          <cell r="F962">
            <v>2.0799999999999999E-2</v>
          </cell>
        </row>
        <row r="963">
          <cell r="A963" t="str">
            <v>53.1.65.1</v>
          </cell>
          <cell r="B963">
            <v>53</v>
          </cell>
          <cell r="C963">
            <v>1</v>
          </cell>
          <cell r="D963">
            <v>65</v>
          </cell>
          <cell r="E963">
            <v>1</v>
          </cell>
          <cell r="F963">
            <v>2.0799999999999999E-2</v>
          </cell>
        </row>
        <row r="964">
          <cell r="A964" t="str">
            <v>53.1.65.2</v>
          </cell>
          <cell r="B964">
            <v>53</v>
          </cell>
          <cell r="C964">
            <v>1</v>
          </cell>
          <cell r="D964">
            <v>65</v>
          </cell>
          <cell r="E964">
            <v>2</v>
          </cell>
          <cell r="F964">
            <v>2.0799999999999999E-2</v>
          </cell>
        </row>
        <row r="965">
          <cell r="A965" t="str">
            <v>53.1.65.A</v>
          </cell>
          <cell r="B965">
            <v>53</v>
          </cell>
          <cell r="C965">
            <v>1</v>
          </cell>
          <cell r="D965">
            <v>65</v>
          </cell>
          <cell r="E965" t="str">
            <v>A</v>
          </cell>
          <cell r="F965">
            <v>2.0799999999999999E-2</v>
          </cell>
        </row>
        <row r="966">
          <cell r="A966" t="str">
            <v>53.1.67.0</v>
          </cell>
          <cell r="B966">
            <v>53</v>
          </cell>
          <cell r="C966">
            <v>1</v>
          </cell>
          <cell r="D966">
            <v>67</v>
          </cell>
          <cell r="E966">
            <v>0</v>
          </cell>
          <cell r="F966">
            <v>2.0799999999999999E-2</v>
          </cell>
        </row>
        <row r="967">
          <cell r="A967" t="str">
            <v>53.1.67.A</v>
          </cell>
          <cell r="B967">
            <v>53</v>
          </cell>
          <cell r="C967">
            <v>1</v>
          </cell>
          <cell r="D967">
            <v>67</v>
          </cell>
          <cell r="E967" t="str">
            <v>A</v>
          </cell>
          <cell r="F967">
            <v>2.0799999999999999E-2</v>
          </cell>
        </row>
        <row r="968">
          <cell r="A968" t="str">
            <v>53.1.68.0</v>
          </cell>
          <cell r="B968">
            <v>53</v>
          </cell>
          <cell r="C968">
            <v>1</v>
          </cell>
          <cell r="D968">
            <v>68</v>
          </cell>
          <cell r="E968">
            <v>0</v>
          </cell>
          <cell r="F968">
            <v>2.0799999999999999E-2</v>
          </cell>
        </row>
        <row r="969">
          <cell r="A969" t="str">
            <v>53.1.68.A</v>
          </cell>
          <cell r="B969">
            <v>53</v>
          </cell>
          <cell r="C969">
            <v>1</v>
          </cell>
          <cell r="D969">
            <v>68</v>
          </cell>
          <cell r="E969" t="str">
            <v>A</v>
          </cell>
          <cell r="F969">
            <v>2.0799999999999999E-2</v>
          </cell>
        </row>
        <row r="970">
          <cell r="A970" t="str">
            <v>53.1.68.E</v>
          </cell>
          <cell r="B970">
            <v>53</v>
          </cell>
          <cell r="C970">
            <v>1</v>
          </cell>
          <cell r="D970">
            <v>68</v>
          </cell>
          <cell r="E970" t="str">
            <v>E</v>
          </cell>
          <cell r="F970">
            <v>2.0799999999999999E-2</v>
          </cell>
        </row>
        <row r="971">
          <cell r="A971" t="str">
            <v>53.1.68.I</v>
          </cell>
          <cell r="B971">
            <v>53</v>
          </cell>
          <cell r="C971">
            <v>1</v>
          </cell>
          <cell r="D971">
            <v>68</v>
          </cell>
          <cell r="E971" t="str">
            <v>I</v>
          </cell>
          <cell r="F971">
            <v>2.0799999999999999E-2</v>
          </cell>
        </row>
        <row r="972">
          <cell r="A972" t="str">
            <v>53.1.68.N</v>
          </cell>
          <cell r="B972">
            <v>53</v>
          </cell>
          <cell r="C972">
            <v>1</v>
          </cell>
          <cell r="D972">
            <v>68</v>
          </cell>
          <cell r="E972" t="str">
            <v>N</v>
          </cell>
          <cell r="F972">
            <v>2.0799999999999999E-2</v>
          </cell>
        </row>
        <row r="973">
          <cell r="A973" t="str">
            <v>53.7P.68.N</v>
          </cell>
          <cell r="B973">
            <v>53</v>
          </cell>
          <cell r="C973" t="str">
            <v>7P</v>
          </cell>
          <cell r="D973">
            <v>68</v>
          </cell>
          <cell r="E973" t="str">
            <v>N</v>
          </cell>
          <cell r="F973">
            <v>2.0799999999999999E-2</v>
          </cell>
        </row>
        <row r="974">
          <cell r="A974" t="str">
            <v>53.1.76.0</v>
          </cell>
          <cell r="B974">
            <v>53</v>
          </cell>
          <cell r="C974">
            <v>1</v>
          </cell>
          <cell r="D974">
            <v>76</v>
          </cell>
          <cell r="E974">
            <v>0</v>
          </cell>
          <cell r="F974">
            <v>2.6499999999999999E-2</v>
          </cell>
        </row>
        <row r="975">
          <cell r="A975" t="str">
            <v>53.1.76.2</v>
          </cell>
          <cell r="B975">
            <v>53</v>
          </cell>
          <cell r="C975">
            <v>1</v>
          </cell>
          <cell r="D975">
            <v>76</v>
          </cell>
          <cell r="E975">
            <v>2</v>
          </cell>
          <cell r="F975">
            <v>2.6499999999999999E-2</v>
          </cell>
        </row>
        <row r="976">
          <cell r="A976" t="str">
            <v>53.1.76.A</v>
          </cell>
          <cell r="B976">
            <v>53</v>
          </cell>
          <cell r="C976">
            <v>1</v>
          </cell>
          <cell r="D976">
            <v>76</v>
          </cell>
          <cell r="E976" t="str">
            <v>A</v>
          </cell>
          <cell r="F976">
            <v>2.6499999999999999E-2</v>
          </cell>
        </row>
        <row r="977">
          <cell r="A977" t="str">
            <v>53.1.76.F</v>
          </cell>
          <cell r="B977">
            <v>53</v>
          </cell>
          <cell r="C977">
            <v>1</v>
          </cell>
          <cell r="D977">
            <v>76</v>
          </cell>
          <cell r="E977" t="str">
            <v>F</v>
          </cell>
          <cell r="F977">
            <v>2.6499999999999999E-2</v>
          </cell>
        </row>
        <row r="978">
          <cell r="A978" t="str">
            <v>53.1.76.N</v>
          </cell>
          <cell r="B978">
            <v>53</v>
          </cell>
          <cell r="C978">
            <v>1</v>
          </cell>
          <cell r="D978">
            <v>76</v>
          </cell>
          <cell r="E978" t="str">
            <v>N</v>
          </cell>
          <cell r="F978">
            <v>2.6499999999999999E-2</v>
          </cell>
        </row>
        <row r="979">
          <cell r="A979" t="str">
            <v>53.1.93.I</v>
          </cell>
          <cell r="B979">
            <v>53</v>
          </cell>
          <cell r="C979">
            <v>1</v>
          </cell>
          <cell r="D979">
            <v>93</v>
          </cell>
          <cell r="E979" t="str">
            <v>I</v>
          </cell>
          <cell r="F979">
            <v>0</v>
          </cell>
        </row>
        <row r="980">
          <cell r="A980" t="str">
            <v>53.1.94.I</v>
          </cell>
          <cell r="B980">
            <v>53</v>
          </cell>
          <cell r="C980">
            <v>1</v>
          </cell>
          <cell r="D980">
            <v>94</v>
          </cell>
          <cell r="E980" t="str">
            <v>I</v>
          </cell>
          <cell r="F980">
            <v>3.2599999999999997E-2</v>
          </cell>
        </row>
        <row r="981">
          <cell r="A981" t="str">
            <v>53.1.97.I</v>
          </cell>
          <cell r="B981">
            <v>53</v>
          </cell>
          <cell r="C981">
            <v>1</v>
          </cell>
          <cell r="D981">
            <v>97</v>
          </cell>
          <cell r="E981" t="str">
            <v>I</v>
          </cell>
          <cell r="F981">
            <v>4.1500000000000002E-2</v>
          </cell>
        </row>
        <row r="982">
          <cell r="A982" t="str">
            <v>53.1.98.0</v>
          </cell>
          <cell r="B982">
            <v>53</v>
          </cell>
          <cell r="C982">
            <v>1</v>
          </cell>
          <cell r="D982">
            <v>98</v>
          </cell>
          <cell r="E982">
            <v>0</v>
          </cell>
          <cell r="F982">
            <v>0</v>
          </cell>
        </row>
        <row r="983">
          <cell r="A983" t="str">
            <v>53.1.98.A</v>
          </cell>
          <cell r="B983">
            <v>53</v>
          </cell>
          <cell r="C983">
            <v>1</v>
          </cell>
          <cell r="D983">
            <v>98</v>
          </cell>
          <cell r="E983" t="str">
            <v>A</v>
          </cell>
          <cell r="F983">
            <v>0</v>
          </cell>
        </row>
        <row r="984">
          <cell r="A984" t="str">
            <v>55.1.16.E</v>
          </cell>
          <cell r="B984">
            <v>55</v>
          </cell>
          <cell r="C984">
            <v>1</v>
          </cell>
          <cell r="D984">
            <v>16</v>
          </cell>
          <cell r="E984" t="str">
            <v>E</v>
          </cell>
          <cell r="F984">
            <v>9.3299999999999994E-2</v>
          </cell>
        </row>
        <row r="985">
          <cell r="A985" t="str">
            <v>55.1.17.E</v>
          </cell>
          <cell r="B985">
            <v>55</v>
          </cell>
          <cell r="C985">
            <v>1</v>
          </cell>
          <cell r="D985">
            <v>17</v>
          </cell>
          <cell r="E985" t="str">
            <v>E</v>
          </cell>
          <cell r="F985">
            <v>9.3299999999999994E-2</v>
          </cell>
        </row>
        <row r="986">
          <cell r="A986" t="str">
            <v>55.1.17.N</v>
          </cell>
          <cell r="B986">
            <v>55</v>
          </cell>
          <cell r="C986">
            <v>1</v>
          </cell>
          <cell r="D986">
            <v>17</v>
          </cell>
          <cell r="E986" t="str">
            <v>N</v>
          </cell>
          <cell r="F986">
            <v>9.3299999999999994E-2</v>
          </cell>
        </row>
        <row r="987">
          <cell r="A987" t="str">
            <v>55.7P.17.N</v>
          </cell>
          <cell r="B987">
            <v>55</v>
          </cell>
          <cell r="C987" t="str">
            <v>7P</v>
          </cell>
          <cell r="D987">
            <v>17</v>
          </cell>
          <cell r="E987" t="str">
            <v>N</v>
          </cell>
          <cell r="F987">
            <v>9.3299999999999994E-2</v>
          </cell>
        </row>
        <row r="988">
          <cell r="A988" t="str">
            <v>55.1.18.E</v>
          </cell>
          <cell r="B988">
            <v>55</v>
          </cell>
          <cell r="C988">
            <v>1</v>
          </cell>
          <cell r="D988">
            <v>18</v>
          </cell>
          <cell r="E988" t="str">
            <v>E</v>
          </cell>
          <cell r="F988">
            <v>9.3299999999999994E-2</v>
          </cell>
        </row>
        <row r="989">
          <cell r="A989" t="str">
            <v>55.1.35.0</v>
          </cell>
          <cell r="B989">
            <v>55</v>
          </cell>
          <cell r="C989">
            <v>1</v>
          </cell>
          <cell r="D989">
            <v>35</v>
          </cell>
          <cell r="E989">
            <v>0</v>
          </cell>
          <cell r="F989">
            <v>9.3299999999999994E-2</v>
          </cell>
        </row>
        <row r="990">
          <cell r="A990" t="str">
            <v>55.1.35.A</v>
          </cell>
          <cell r="B990">
            <v>55</v>
          </cell>
          <cell r="C990">
            <v>1</v>
          </cell>
          <cell r="D990">
            <v>35</v>
          </cell>
          <cell r="E990" t="str">
            <v>A</v>
          </cell>
          <cell r="F990">
            <v>9.3299999999999994E-2</v>
          </cell>
        </row>
        <row r="991">
          <cell r="A991" t="str">
            <v>55.1.35.E</v>
          </cell>
          <cell r="B991">
            <v>55</v>
          </cell>
          <cell r="C991">
            <v>1</v>
          </cell>
          <cell r="D991">
            <v>35</v>
          </cell>
          <cell r="E991" t="str">
            <v>E</v>
          </cell>
          <cell r="F991">
            <v>9.3299999999999994E-2</v>
          </cell>
        </row>
        <row r="992">
          <cell r="A992" t="str">
            <v>55.1.35.N</v>
          </cell>
          <cell r="B992">
            <v>55</v>
          </cell>
          <cell r="C992">
            <v>1</v>
          </cell>
          <cell r="D992">
            <v>35</v>
          </cell>
          <cell r="E992" t="str">
            <v>N</v>
          </cell>
          <cell r="F992">
            <v>9.3299999999999994E-2</v>
          </cell>
        </row>
        <row r="993">
          <cell r="A993" t="str">
            <v>55.1.65.E</v>
          </cell>
          <cell r="B993">
            <v>55</v>
          </cell>
          <cell r="C993">
            <v>1</v>
          </cell>
          <cell r="D993">
            <v>65</v>
          </cell>
          <cell r="E993" t="str">
            <v>E</v>
          </cell>
          <cell r="F993">
            <v>9.3299999999999994E-2</v>
          </cell>
        </row>
        <row r="994">
          <cell r="A994" t="str">
            <v>55.1.65.N</v>
          </cell>
          <cell r="B994">
            <v>55</v>
          </cell>
          <cell r="C994">
            <v>1</v>
          </cell>
          <cell r="D994">
            <v>65</v>
          </cell>
          <cell r="E994" t="str">
            <v>N</v>
          </cell>
          <cell r="F994">
            <v>9.3299999999999994E-2</v>
          </cell>
        </row>
        <row r="995">
          <cell r="A995" t="str">
            <v>55.7P.65.N</v>
          </cell>
          <cell r="B995">
            <v>55</v>
          </cell>
          <cell r="C995" t="str">
            <v>7P</v>
          </cell>
          <cell r="D995">
            <v>65</v>
          </cell>
          <cell r="E995" t="str">
            <v>N</v>
          </cell>
          <cell r="F995">
            <v>9.3299999999999994E-2</v>
          </cell>
        </row>
        <row r="996">
          <cell r="A996" t="str">
            <v>57.1.0.0</v>
          </cell>
          <cell r="B996">
            <v>57</v>
          </cell>
          <cell r="C996">
            <v>1</v>
          </cell>
          <cell r="D996">
            <v>0</v>
          </cell>
          <cell r="E996">
            <v>0</v>
          </cell>
          <cell r="F996">
            <v>2.5100000000000001E-2</v>
          </cell>
        </row>
        <row r="997">
          <cell r="A997" t="str">
            <v>57.1.0.A</v>
          </cell>
          <cell r="B997">
            <v>57</v>
          </cell>
          <cell r="C997">
            <v>1</v>
          </cell>
          <cell r="D997">
            <v>0</v>
          </cell>
          <cell r="E997" t="str">
            <v>A</v>
          </cell>
          <cell r="F997">
            <v>2.5100000000000001E-2</v>
          </cell>
        </row>
        <row r="998">
          <cell r="A998" t="str">
            <v>57.1.0.C</v>
          </cell>
          <cell r="B998">
            <v>57</v>
          </cell>
          <cell r="C998">
            <v>1</v>
          </cell>
          <cell r="D998">
            <v>0</v>
          </cell>
          <cell r="E998" t="str">
            <v>C</v>
          </cell>
          <cell r="F998">
            <v>2.5100000000000001E-2</v>
          </cell>
        </row>
        <row r="999">
          <cell r="A999" t="str">
            <v>57.1.0.F</v>
          </cell>
          <cell r="B999">
            <v>57</v>
          </cell>
          <cell r="C999">
            <v>1</v>
          </cell>
          <cell r="D999">
            <v>0</v>
          </cell>
          <cell r="E999" t="str">
            <v>F</v>
          </cell>
          <cell r="F999">
            <v>2.5100000000000001E-2</v>
          </cell>
        </row>
        <row r="1000">
          <cell r="A1000" t="str">
            <v>57.1.0.N</v>
          </cell>
          <cell r="B1000">
            <v>57</v>
          </cell>
          <cell r="C1000">
            <v>1</v>
          </cell>
          <cell r="D1000">
            <v>0</v>
          </cell>
          <cell r="E1000" t="str">
            <v>N</v>
          </cell>
          <cell r="F1000">
            <v>2.5100000000000001E-2</v>
          </cell>
        </row>
        <row r="1001">
          <cell r="A1001" t="str">
            <v>57.1.1.0</v>
          </cell>
          <cell r="B1001">
            <v>57</v>
          </cell>
          <cell r="C1001">
            <v>1</v>
          </cell>
          <cell r="D1001">
            <v>1</v>
          </cell>
          <cell r="E1001">
            <v>0</v>
          </cell>
          <cell r="F1001">
            <v>2.5100000000000001E-2</v>
          </cell>
        </row>
        <row r="1002">
          <cell r="A1002" t="str">
            <v>57.1.1.A</v>
          </cell>
          <cell r="B1002">
            <v>57</v>
          </cell>
          <cell r="C1002">
            <v>1</v>
          </cell>
          <cell r="D1002">
            <v>1</v>
          </cell>
          <cell r="E1002" t="str">
            <v>A</v>
          </cell>
          <cell r="F1002">
            <v>2.5100000000000001E-2</v>
          </cell>
        </row>
        <row r="1003">
          <cell r="A1003" t="str">
            <v>57.1.5.0</v>
          </cell>
          <cell r="B1003">
            <v>57</v>
          </cell>
          <cell r="C1003">
            <v>1</v>
          </cell>
          <cell r="D1003">
            <v>5</v>
          </cell>
          <cell r="E1003">
            <v>0</v>
          </cell>
          <cell r="F1003">
            <v>2.5100000000000001E-2</v>
          </cell>
        </row>
        <row r="1004">
          <cell r="A1004" t="str">
            <v>57.1.5.2</v>
          </cell>
          <cell r="B1004">
            <v>57</v>
          </cell>
          <cell r="C1004">
            <v>1</v>
          </cell>
          <cell r="D1004">
            <v>5</v>
          </cell>
          <cell r="E1004">
            <v>2</v>
          </cell>
          <cell r="F1004">
            <v>2.5100000000000001E-2</v>
          </cell>
        </row>
        <row r="1005">
          <cell r="A1005" t="str">
            <v>57.1.5.A</v>
          </cell>
          <cell r="B1005">
            <v>57</v>
          </cell>
          <cell r="C1005">
            <v>1</v>
          </cell>
          <cell r="D1005">
            <v>5</v>
          </cell>
          <cell r="E1005" t="str">
            <v>A</v>
          </cell>
          <cell r="F1005">
            <v>2.5100000000000001E-2</v>
          </cell>
        </row>
        <row r="1006">
          <cell r="A1006" t="str">
            <v>57.1.5.E</v>
          </cell>
          <cell r="B1006">
            <v>57</v>
          </cell>
          <cell r="C1006">
            <v>1</v>
          </cell>
          <cell r="D1006">
            <v>5</v>
          </cell>
          <cell r="E1006" t="str">
            <v>E</v>
          </cell>
          <cell r="F1006">
            <v>2.5100000000000001E-2</v>
          </cell>
        </row>
        <row r="1007">
          <cell r="A1007" t="str">
            <v>57.1.5.F</v>
          </cell>
          <cell r="B1007">
            <v>57</v>
          </cell>
          <cell r="C1007">
            <v>1</v>
          </cell>
          <cell r="D1007">
            <v>5</v>
          </cell>
          <cell r="E1007" t="str">
            <v>F</v>
          </cell>
          <cell r="F1007">
            <v>2.5100000000000001E-2</v>
          </cell>
        </row>
        <row r="1008">
          <cell r="A1008" t="str">
            <v>57.1.5.I</v>
          </cell>
          <cell r="B1008">
            <v>57</v>
          </cell>
          <cell r="C1008">
            <v>1</v>
          </cell>
          <cell r="D1008">
            <v>5</v>
          </cell>
          <cell r="E1008" t="str">
            <v>I</v>
          </cell>
          <cell r="F1008">
            <v>2.5100000000000001E-2</v>
          </cell>
        </row>
        <row r="1009">
          <cell r="A1009" t="str">
            <v>57.1.5.N</v>
          </cell>
          <cell r="B1009">
            <v>57</v>
          </cell>
          <cell r="C1009">
            <v>1</v>
          </cell>
          <cell r="D1009">
            <v>5</v>
          </cell>
          <cell r="E1009" t="str">
            <v>N</v>
          </cell>
          <cell r="F1009">
            <v>2.5100000000000001E-2</v>
          </cell>
        </row>
        <row r="1010">
          <cell r="A1010" t="str">
            <v>57.7P.5.N</v>
          </cell>
          <cell r="B1010">
            <v>57</v>
          </cell>
          <cell r="C1010" t="str">
            <v>7P</v>
          </cell>
          <cell r="D1010">
            <v>5</v>
          </cell>
          <cell r="E1010" t="str">
            <v>N</v>
          </cell>
          <cell r="F1010">
            <v>2.5100000000000001E-2</v>
          </cell>
        </row>
        <row r="1011">
          <cell r="A1011" t="str">
            <v>57.1.6.0</v>
          </cell>
          <cell r="B1011">
            <v>57</v>
          </cell>
          <cell r="C1011">
            <v>1</v>
          </cell>
          <cell r="D1011">
            <v>6</v>
          </cell>
          <cell r="E1011">
            <v>0</v>
          </cell>
          <cell r="F1011">
            <v>2.5100000000000001E-2</v>
          </cell>
        </row>
        <row r="1012">
          <cell r="A1012" t="str">
            <v>57.1.6.A</v>
          </cell>
          <cell r="B1012">
            <v>57</v>
          </cell>
          <cell r="C1012">
            <v>1</v>
          </cell>
          <cell r="D1012">
            <v>6</v>
          </cell>
          <cell r="E1012" t="str">
            <v>A</v>
          </cell>
          <cell r="F1012">
            <v>2.5100000000000001E-2</v>
          </cell>
        </row>
        <row r="1013">
          <cell r="A1013" t="str">
            <v>57.1.10.0</v>
          </cell>
          <cell r="B1013">
            <v>57</v>
          </cell>
          <cell r="C1013">
            <v>1</v>
          </cell>
          <cell r="D1013">
            <v>10</v>
          </cell>
          <cell r="E1013">
            <v>0</v>
          </cell>
          <cell r="F1013">
            <v>2.5100000000000001E-2</v>
          </cell>
        </row>
        <row r="1014">
          <cell r="A1014" t="str">
            <v>57.1.10.A</v>
          </cell>
          <cell r="B1014">
            <v>57</v>
          </cell>
          <cell r="C1014">
            <v>1</v>
          </cell>
          <cell r="D1014">
            <v>10</v>
          </cell>
          <cell r="E1014" t="str">
            <v>A</v>
          </cell>
          <cell r="F1014">
            <v>2.5100000000000001E-2</v>
          </cell>
        </row>
        <row r="1015">
          <cell r="A1015" t="str">
            <v>57.1.10.F</v>
          </cell>
          <cell r="B1015">
            <v>57</v>
          </cell>
          <cell r="C1015">
            <v>1</v>
          </cell>
          <cell r="D1015">
            <v>10</v>
          </cell>
          <cell r="E1015" t="str">
            <v>F</v>
          </cell>
          <cell r="F1015">
            <v>2.5100000000000001E-2</v>
          </cell>
        </row>
        <row r="1016">
          <cell r="A1016" t="str">
            <v>57.1.10.N</v>
          </cell>
          <cell r="B1016">
            <v>57</v>
          </cell>
          <cell r="C1016">
            <v>1</v>
          </cell>
          <cell r="D1016">
            <v>10</v>
          </cell>
          <cell r="E1016" t="str">
            <v>N</v>
          </cell>
          <cell r="F1016">
            <v>2.5100000000000001E-2</v>
          </cell>
        </row>
        <row r="1017">
          <cell r="A1017" t="str">
            <v>57.1.15.0</v>
          </cell>
          <cell r="B1017">
            <v>57</v>
          </cell>
          <cell r="C1017">
            <v>1</v>
          </cell>
          <cell r="D1017">
            <v>15</v>
          </cell>
          <cell r="E1017">
            <v>0</v>
          </cell>
          <cell r="F1017">
            <v>2.5100000000000001E-2</v>
          </cell>
        </row>
        <row r="1018">
          <cell r="A1018" t="str">
            <v>57.1.15.A</v>
          </cell>
          <cell r="B1018">
            <v>57</v>
          </cell>
          <cell r="C1018">
            <v>1</v>
          </cell>
          <cell r="D1018">
            <v>15</v>
          </cell>
          <cell r="E1018" t="str">
            <v>A</v>
          </cell>
          <cell r="F1018">
            <v>2.5100000000000001E-2</v>
          </cell>
        </row>
        <row r="1019">
          <cell r="A1019" t="str">
            <v>57.1.15.F</v>
          </cell>
          <cell r="B1019">
            <v>57</v>
          </cell>
          <cell r="C1019">
            <v>1</v>
          </cell>
          <cell r="D1019">
            <v>15</v>
          </cell>
          <cell r="E1019" t="str">
            <v>F</v>
          </cell>
          <cell r="F1019">
            <v>2.5100000000000001E-2</v>
          </cell>
        </row>
        <row r="1020">
          <cell r="A1020" t="str">
            <v>57.1.15.N</v>
          </cell>
          <cell r="B1020">
            <v>57</v>
          </cell>
          <cell r="C1020">
            <v>1</v>
          </cell>
          <cell r="D1020">
            <v>15</v>
          </cell>
          <cell r="E1020" t="str">
            <v>N</v>
          </cell>
          <cell r="F1020">
            <v>2.5100000000000001E-2</v>
          </cell>
        </row>
        <row r="1021">
          <cell r="A1021" t="str">
            <v>57.1.20.0</v>
          </cell>
          <cell r="B1021">
            <v>57</v>
          </cell>
          <cell r="C1021">
            <v>1</v>
          </cell>
          <cell r="D1021">
            <v>20</v>
          </cell>
          <cell r="E1021">
            <v>0</v>
          </cell>
          <cell r="F1021">
            <v>0.08</v>
          </cell>
        </row>
        <row r="1022">
          <cell r="A1022" t="str">
            <v>57.1.20.A</v>
          </cell>
          <cell r="B1022">
            <v>57</v>
          </cell>
          <cell r="C1022">
            <v>1</v>
          </cell>
          <cell r="D1022">
            <v>20</v>
          </cell>
          <cell r="E1022" t="str">
            <v>A</v>
          </cell>
          <cell r="F1022">
            <v>0.08</v>
          </cell>
        </row>
        <row r="1023">
          <cell r="A1023" t="str">
            <v>57.1.20.F</v>
          </cell>
          <cell r="B1023">
            <v>57</v>
          </cell>
          <cell r="C1023">
            <v>1</v>
          </cell>
          <cell r="D1023">
            <v>20</v>
          </cell>
          <cell r="E1023" t="str">
            <v>F</v>
          </cell>
          <cell r="F1023">
            <v>0.08</v>
          </cell>
        </row>
        <row r="1024">
          <cell r="A1024" t="str">
            <v>57.1.20.N</v>
          </cell>
          <cell r="B1024">
            <v>57</v>
          </cell>
          <cell r="C1024">
            <v>1</v>
          </cell>
          <cell r="D1024">
            <v>20</v>
          </cell>
          <cell r="E1024" t="str">
            <v>N</v>
          </cell>
          <cell r="F1024">
            <v>0.08</v>
          </cell>
        </row>
        <row r="1025">
          <cell r="A1025" t="str">
            <v>57.1.21.0</v>
          </cell>
          <cell r="B1025">
            <v>57</v>
          </cell>
          <cell r="C1025">
            <v>1</v>
          </cell>
          <cell r="D1025">
            <v>21</v>
          </cell>
          <cell r="E1025">
            <v>0</v>
          </cell>
          <cell r="F1025">
            <v>2.5100000000000001E-2</v>
          </cell>
        </row>
        <row r="1026">
          <cell r="A1026" t="str">
            <v>57.1.21.A</v>
          </cell>
          <cell r="B1026">
            <v>57</v>
          </cell>
          <cell r="C1026">
            <v>1</v>
          </cell>
          <cell r="D1026">
            <v>21</v>
          </cell>
          <cell r="E1026" t="str">
            <v>A</v>
          </cell>
          <cell r="F1026">
            <v>2.5100000000000001E-2</v>
          </cell>
        </row>
        <row r="1027">
          <cell r="A1027" t="str">
            <v>57.1.25.0</v>
          </cell>
          <cell r="B1027">
            <v>57</v>
          </cell>
          <cell r="C1027">
            <v>1</v>
          </cell>
          <cell r="D1027">
            <v>25</v>
          </cell>
          <cell r="E1027">
            <v>0</v>
          </cell>
          <cell r="F1027">
            <v>2.5100000000000001E-2</v>
          </cell>
        </row>
        <row r="1028">
          <cell r="A1028" t="str">
            <v>57.1.25.A</v>
          </cell>
          <cell r="B1028">
            <v>57</v>
          </cell>
          <cell r="C1028">
            <v>1</v>
          </cell>
          <cell r="D1028">
            <v>25</v>
          </cell>
          <cell r="E1028" t="str">
            <v>A</v>
          </cell>
          <cell r="F1028">
            <v>2.5100000000000001E-2</v>
          </cell>
        </row>
        <row r="1029">
          <cell r="A1029" t="str">
            <v>57.1.25.F</v>
          </cell>
          <cell r="B1029">
            <v>57</v>
          </cell>
          <cell r="C1029">
            <v>1</v>
          </cell>
          <cell r="D1029">
            <v>25</v>
          </cell>
          <cell r="E1029" t="str">
            <v>F</v>
          </cell>
          <cell r="F1029">
            <v>2.5100000000000001E-2</v>
          </cell>
        </row>
        <row r="1030">
          <cell r="A1030" t="str">
            <v>57.1.25.N</v>
          </cell>
          <cell r="B1030">
            <v>57</v>
          </cell>
          <cell r="C1030">
            <v>1</v>
          </cell>
          <cell r="D1030">
            <v>25</v>
          </cell>
          <cell r="E1030" t="str">
            <v>N</v>
          </cell>
          <cell r="F1030">
            <v>2.5100000000000001E-2</v>
          </cell>
        </row>
        <row r="1031">
          <cell r="A1031" t="str">
            <v>57.1.30.0</v>
          </cell>
          <cell r="B1031">
            <v>57</v>
          </cell>
          <cell r="C1031">
            <v>1</v>
          </cell>
          <cell r="D1031">
            <v>30</v>
          </cell>
          <cell r="E1031">
            <v>0</v>
          </cell>
          <cell r="F1031">
            <v>2.5100000000000001E-2</v>
          </cell>
        </row>
        <row r="1032">
          <cell r="A1032" t="str">
            <v>57.1.30.A</v>
          </cell>
          <cell r="B1032">
            <v>57</v>
          </cell>
          <cell r="C1032">
            <v>1</v>
          </cell>
          <cell r="D1032">
            <v>30</v>
          </cell>
          <cell r="E1032" t="str">
            <v>A</v>
          </cell>
          <cell r="F1032">
            <v>2.5100000000000001E-2</v>
          </cell>
        </row>
        <row r="1033">
          <cell r="A1033" t="str">
            <v>57.1.30.N</v>
          </cell>
          <cell r="B1033">
            <v>57</v>
          </cell>
          <cell r="C1033">
            <v>1</v>
          </cell>
          <cell r="D1033">
            <v>30</v>
          </cell>
          <cell r="E1033" t="str">
            <v>N</v>
          </cell>
          <cell r="F1033">
            <v>2.5100000000000001E-2</v>
          </cell>
        </row>
        <row r="1034">
          <cell r="A1034" t="str">
            <v>57.1.40.0</v>
          </cell>
          <cell r="B1034">
            <v>57</v>
          </cell>
          <cell r="C1034">
            <v>1</v>
          </cell>
          <cell r="D1034">
            <v>40</v>
          </cell>
          <cell r="E1034">
            <v>0</v>
          </cell>
          <cell r="F1034">
            <v>2.5100000000000001E-2</v>
          </cell>
        </row>
        <row r="1035">
          <cell r="A1035" t="str">
            <v>57.1.40.A</v>
          </cell>
          <cell r="B1035">
            <v>57</v>
          </cell>
          <cell r="C1035">
            <v>1</v>
          </cell>
          <cell r="D1035">
            <v>40</v>
          </cell>
          <cell r="E1035" t="str">
            <v>A</v>
          </cell>
          <cell r="F1035">
            <v>2.5100000000000001E-2</v>
          </cell>
        </row>
        <row r="1036">
          <cell r="A1036" t="str">
            <v>57.1.40.N</v>
          </cell>
          <cell r="B1036">
            <v>57</v>
          </cell>
          <cell r="C1036">
            <v>1</v>
          </cell>
          <cell r="D1036">
            <v>40</v>
          </cell>
          <cell r="E1036" t="str">
            <v>N</v>
          </cell>
          <cell r="F1036">
            <v>2.5100000000000001E-2</v>
          </cell>
        </row>
        <row r="1037">
          <cell r="A1037" t="str">
            <v>57.1.45.0</v>
          </cell>
          <cell r="B1037">
            <v>57</v>
          </cell>
          <cell r="C1037">
            <v>1</v>
          </cell>
          <cell r="D1037">
            <v>45</v>
          </cell>
          <cell r="E1037">
            <v>0</v>
          </cell>
          <cell r="F1037">
            <v>2.5100000000000001E-2</v>
          </cell>
        </row>
        <row r="1038">
          <cell r="A1038" t="str">
            <v>57.1.45.A</v>
          </cell>
          <cell r="B1038">
            <v>57</v>
          </cell>
          <cell r="C1038">
            <v>1</v>
          </cell>
          <cell r="D1038">
            <v>45</v>
          </cell>
          <cell r="E1038" t="str">
            <v>A</v>
          </cell>
          <cell r="F1038">
            <v>2.5100000000000001E-2</v>
          </cell>
        </row>
        <row r="1039">
          <cell r="A1039" t="str">
            <v>57.1.50.0</v>
          </cell>
          <cell r="B1039">
            <v>57</v>
          </cell>
          <cell r="C1039">
            <v>1</v>
          </cell>
          <cell r="D1039">
            <v>50</v>
          </cell>
          <cell r="E1039">
            <v>0</v>
          </cell>
          <cell r="F1039">
            <v>2.5100000000000001E-2</v>
          </cell>
        </row>
        <row r="1040">
          <cell r="A1040" t="str">
            <v>57.1.50.A</v>
          </cell>
          <cell r="B1040">
            <v>57</v>
          </cell>
          <cell r="C1040">
            <v>1</v>
          </cell>
          <cell r="D1040">
            <v>50</v>
          </cell>
          <cell r="E1040" t="str">
            <v>A</v>
          </cell>
          <cell r="F1040">
            <v>2.5100000000000001E-2</v>
          </cell>
        </row>
        <row r="1041">
          <cell r="A1041" t="str">
            <v>57.1.50.F</v>
          </cell>
          <cell r="B1041">
            <v>57</v>
          </cell>
          <cell r="C1041">
            <v>1</v>
          </cell>
          <cell r="D1041">
            <v>50</v>
          </cell>
          <cell r="E1041" t="str">
            <v>F</v>
          </cell>
          <cell r="F1041">
            <v>2.5100000000000001E-2</v>
          </cell>
        </row>
        <row r="1042">
          <cell r="A1042" t="str">
            <v>57.1.50.N</v>
          </cell>
          <cell r="B1042">
            <v>57</v>
          </cell>
          <cell r="C1042">
            <v>1</v>
          </cell>
          <cell r="D1042">
            <v>50</v>
          </cell>
          <cell r="E1042" t="str">
            <v>N</v>
          </cell>
          <cell r="F1042">
            <v>2.5100000000000001E-2</v>
          </cell>
        </row>
        <row r="1043">
          <cell r="A1043" t="str">
            <v>57.1.55.0</v>
          </cell>
          <cell r="B1043">
            <v>57</v>
          </cell>
          <cell r="C1043">
            <v>1</v>
          </cell>
          <cell r="D1043">
            <v>55</v>
          </cell>
          <cell r="E1043">
            <v>0</v>
          </cell>
          <cell r="F1043">
            <v>2.5100000000000001E-2</v>
          </cell>
        </row>
        <row r="1044">
          <cell r="A1044" t="str">
            <v>57.1.55.A</v>
          </cell>
          <cell r="B1044">
            <v>57</v>
          </cell>
          <cell r="C1044">
            <v>1</v>
          </cell>
          <cell r="D1044">
            <v>55</v>
          </cell>
          <cell r="E1044" t="str">
            <v>A</v>
          </cell>
          <cell r="F1044">
            <v>2.5100000000000001E-2</v>
          </cell>
        </row>
        <row r="1045">
          <cell r="A1045" t="str">
            <v>57.1.55.F</v>
          </cell>
          <cell r="B1045">
            <v>57</v>
          </cell>
          <cell r="C1045">
            <v>1</v>
          </cell>
          <cell r="D1045">
            <v>55</v>
          </cell>
          <cell r="E1045" t="str">
            <v>F</v>
          </cell>
          <cell r="F1045">
            <v>2.5100000000000001E-2</v>
          </cell>
        </row>
        <row r="1046">
          <cell r="A1046" t="str">
            <v>57.1.55.N</v>
          </cell>
          <cell r="B1046">
            <v>57</v>
          </cell>
          <cell r="C1046">
            <v>1</v>
          </cell>
          <cell r="D1046">
            <v>55</v>
          </cell>
          <cell r="E1046" t="str">
            <v>N</v>
          </cell>
          <cell r="F1046">
            <v>2.5100000000000001E-2</v>
          </cell>
        </row>
        <row r="1047">
          <cell r="A1047" t="str">
            <v>57.1.57.I</v>
          </cell>
          <cell r="B1047">
            <v>57</v>
          </cell>
          <cell r="C1047">
            <v>1</v>
          </cell>
          <cell r="D1047">
            <v>57</v>
          </cell>
          <cell r="E1047" t="str">
            <v>I</v>
          </cell>
          <cell r="F1047">
            <v>2.5100000000000001E-2</v>
          </cell>
        </row>
        <row r="1048">
          <cell r="A1048" t="str">
            <v>57.1.57.N</v>
          </cell>
          <cell r="B1048">
            <v>57</v>
          </cell>
          <cell r="C1048">
            <v>1</v>
          </cell>
          <cell r="D1048">
            <v>57</v>
          </cell>
          <cell r="E1048" t="str">
            <v>N</v>
          </cell>
          <cell r="F1048">
            <v>2.5100000000000001E-2</v>
          </cell>
        </row>
        <row r="1049">
          <cell r="A1049" t="str">
            <v>57.1.60.0</v>
          </cell>
          <cell r="B1049">
            <v>57</v>
          </cell>
          <cell r="C1049">
            <v>1</v>
          </cell>
          <cell r="D1049">
            <v>60</v>
          </cell>
          <cell r="E1049">
            <v>0</v>
          </cell>
          <cell r="F1049">
            <v>2.5100000000000001E-2</v>
          </cell>
        </row>
        <row r="1050">
          <cell r="A1050" t="str">
            <v>57.1.60.A</v>
          </cell>
          <cell r="B1050">
            <v>57</v>
          </cell>
          <cell r="C1050">
            <v>1</v>
          </cell>
          <cell r="D1050">
            <v>60</v>
          </cell>
          <cell r="E1050" t="str">
            <v>A</v>
          </cell>
          <cell r="F1050">
            <v>2.5100000000000001E-2</v>
          </cell>
        </row>
        <row r="1051">
          <cell r="A1051" t="str">
            <v>57.1.61.0</v>
          </cell>
          <cell r="B1051">
            <v>57</v>
          </cell>
          <cell r="C1051">
            <v>1</v>
          </cell>
          <cell r="D1051">
            <v>61</v>
          </cell>
          <cell r="E1051">
            <v>0</v>
          </cell>
          <cell r="F1051">
            <v>2.5100000000000001E-2</v>
          </cell>
        </row>
        <row r="1052">
          <cell r="A1052" t="str">
            <v>57.1.61.A</v>
          </cell>
          <cell r="B1052">
            <v>57</v>
          </cell>
          <cell r="C1052">
            <v>1</v>
          </cell>
          <cell r="D1052">
            <v>61</v>
          </cell>
          <cell r="E1052" t="str">
            <v>A</v>
          </cell>
          <cell r="F1052">
            <v>2.5100000000000001E-2</v>
          </cell>
        </row>
        <row r="1053">
          <cell r="A1053" t="str">
            <v>57.1.61.F</v>
          </cell>
          <cell r="B1053">
            <v>57</v>
          </cell>
          <cell r="C1053">
            <v>1</v>
          </cell>
          <cell r="D1053">
            <v>61</v>
          </cell>
          <cell r="E1053" t="str">
            <v>F</v>
          </cell>
          <cell r="F1053">
            <v>2.5100000000000001E-2</v>
          </cell>
        </row>
        <row r="1054">
          <cell r="A1054" t="str">
            <v>57.1.61.N</v>
          </cell>
          <cell r="B1054">
            <v>57</v>
          </cell>
          <cell r="C1054">
            <v>1</v>
          </cell>
          <cell r="D1054">
            <v>61</v>
          </cell>
          <cell r="E1054" t="str">
            <v>N</v>
          </cell>
          <cell r="F1054">
            <v>2.5100000000000001E-2</v>
          </cell>
        </row>
        <row r="1055">
          <cell r="A1055" t="str">
            <v>57.1.62.0</v>
          </cell>
          <cell r="B1055">
            <v>57</v>
          </cell>
          <cell r="C1055">
            <v>1</v>
          </cell>
          <cell r="D1055">
            <v>62</v>
          </cell>
          <cell r="E1055">
            <v>0</v>
          </cell>
          <cell r="F1055">
            <v>2.5100000000000001E-2</v>
          </cell>
        </row>
        <row r="1056">
          <cell r="A1056" t="str">
            <v>57.1.62.A</v>
          </cell>
          <cell r="B1056">
            <v>57</v>
          </cell>
          <cell r="C1056">
            <v>1</v>
          </cell>
          <cell r="D1056">
            <v>62</v>
          </cell>
          <cell r="E1056" t="str">
            <v>A</v>
          </cell>
          <cell r="F1056">
            <v>2.5100000000000001E-2</v>
          </cell>
        </row>
        <row r="1057">
          <cell r="A1057" t="str">
            <v>57.1.65.0</v>
          </cell>
          <cell r="B1057">
            <v>57</v>
          </cell>
          <cell r="C1057">
            <v>1</v>
          </cell>
          <cell r="D1057">
            <v>65</v>
          </cell>
          <cell r="E1057">
            <v>0</v>
          </cell>
          <cell r="F1057">
            <v>2.5100000000000001E-2</v>
          </cell>
        </row>
        <row r="1058">
          <cell r="A1058" t="str">
            <v>57.1.65.A</v>
          </cell>
          <cell r="B1058">
            <v>57</v>
          </cell>
          <cell r="C1058">
            <v>1</v>
          </cell>
          <cell r="D1058">
            <v>65</v>
          </cell>
          <cell r="E1058" t="str">
            <v>A</v>
          </cell>
          <cell r="F1058">
            <v>2.5100000000000001E-2</v>
          </cell>
        </row>
        <row r="1059">
          <cell r="A1059" t="str">
            <v>57.1.68.0</v>
          </cell>
          <cell r="B1059">
            <v>57</v>
          </cell>
          <cell r="C1059">
            <v>1</v>
          </cell>
          <cell r="D1059">
            <v>68</v>
          </cell>
          <cell r="E1059">
            <v>0</v>
          </cell>
          <cell r="F1059">
            <v>2.5100000000000001E-2</v>
          </cell>
        </row>
        <row r="1060">
          <cell r="A1060" t="str">
            <v>57.1.68.A</v>
          </cell>
          <cell r="B1060">
            <v>57</v>
          </cell>
          <cell r="C1060">
            <v>1</v>
          </cell>
          <cell r="D1060">
            <v>68</v>
          </cell>
          <cell r="E1060" t="str">
            <v>A</v>
          </cell>
          <cell r="F1060">
            <v>2.5100000000000001E-2</v>
          </cell>
        </row>
        <row r="1061">
          <cell r="A1061" t="str">
            <v>57.1.68.N</v>
          </cell>
          <cell r="B1061">
            <v>57</v>
          </cell>
          <cell r="C1061">
            <v>1</v>
          </cell>
          <cell r="D1061">
            <v>68</v>
          </cell>
          <cell r="E1061" t="str">
            <v>N</v>
          </cell>
          <cell r="F1061">
            <v>2.5100000000000001E-2</v>
          </cell>
        </row>
        <row r="1062">
          <cell r="A1062" t="str">
            <v>57.1.73.0</v>
          </cell>
          <cell r="B1062">
            <v>57</v>
          </cell>
          <cell r="C1062">
            <v>1</v>
          </cell>
          <cell r="D1062">
            <v>73</v>
          </cell>
          <cell r="E1062">
            <v>0</v>
          </cell>
          <cell r="F1062">
            <v>2.5100000000000001E-2</v>
          </cell>
        </row>
        <row r="1063">
          <cell r="A1063" t="str">
            <v>57.1.73.A</v>
          </cell>
          <cell r="B1063">
            <v>57</v>
          </cell>
          <cell r="C1063">
            <v>1</v>
          </cell>
          <cell r="D1063">
            <v>73</v>
          </cell>
          <cell r="E1063" t="str">
            <v>A</v>
          </cell>
          <cell r="F1063">
            <v>2.5100000000000001E-2</v>
          </cell>
        </row>
        <row r="1064">
          <cell r="A1064" t="str">
            <v>57.1.75.0</v>
          </cell>
          <cell r="B1064">
            <v>57</v>
          </cell>
          <cell r="C1064">
            <v>1</v>
          </cell>
          <cell r="D1064">
            <v>75</v>
          </cell>
          <cell r="E1064">
            <v>0</v>
          </cell>
          <cell r="F1064">
            <v>2.5100000000000001E-2</v>
          </cell>
        </row>
        <row r="1065">
          <cell r="A1065" t="str">
            <v>57.1.75.A</v>
          </cell>
          <cell r="B1065">
            <v>57</v>
          </cell>
          <cell r="C1065">
            <v>1</v>
          </cell>
          <cell r="D1065">
            <v>75</v>
          </cell>
          <cell r="E1065" t="str">
            <v>A</v>
          </cell>
          <cell r="F1065">
            <v>2.5100000000000001E-2</v>
          </cell>
        </row>
        <row r="1066">
          <cell r="A1066" t="str">
            <v>57.1.81.0</v>
          </cell>
          <cell r="B1066">
            <v>57</v>
          </cell>
          <cell r="C1066">
            <v>1</v>
          </cell>
          <cell r="D1066">
            <v>81</v>
          </cell>
          <cell r="E1066">
            <v>0</v>
          </cell>
          <cell r="F1066">
            <v>2.5100000000000001E-2</v>
          </cell>
        </row>
        <row r="1067">
          <cell r="A1067" t="str">
            <v>57.1.81.A</v>
          </cell>
          <cell r="B1067">
            <v>57</v>
          </cell>
          <cell r="C1067">
            <v>1</v>
          </cell>
          <cell r="D1067">
            <v>81</v>
          </cell>
          <cell r="E1067" t="str">
            <v>A</v>
          </cell>
          <cell r="F1067">
            <v>2.5100000000000001E-2</v>
          </cell>
        </row>
        <row r="1068">
          <cell r="A1068" t="str">
            <v>57.1.84.0</v>
          </cell>
          <cell r="B1068">
            <v>57</v>
          </cell>
          <cell r="C1068">
            <v>1</v>
          </cell>
          <cell r="D1068">
            <v>84</v>
          </cell>
          <cell r="E1068">
            <v>0</v>
          </cell>
          <cell r="F1068">
            <v>2.5100000000000001E-2</v>
          </cell>
        </row>
        <row r="1069">
          <cell r="A1069" t="str">
            <v>57.1.84.A</v>
          </cell>
          <cell r="B1069">
            <v>57</v>
          </cell>
          <cell r="C1069">
            <v>1</v>
          </cell>
          <cell r="D1069">
            <v>84</v>
          </cell>
          <cell r="E1069" t="str">
            <v>A</v>
          </cell>
          <cell r="F1069">
            <v>2.5100000000000001E-2</v>
          </cell>
        </row>
        <row r="1070">
          <cell r="A1070" t="str">
            <v>57.1.85.0</v>
          </cell>
          <cell r="B1070">
            <v>57</v>
          </cell>
          <cell r="C1070">
            <v>1</v>
          </cell>
          <cell r="D1070">
            <v>85</v>
          </cell>
          <cell r="E1070">
            <v>0</v>
          </cell>
          <cell r="F1070">
            <v>2.5100000000000001E-2</v>
          </cell>
        </row>
        <row r="1071">
          <cell r="A1071" t="str">
            <v>57.1.85.A</v>
          </cell>
          <cell r="B1071">
            <v>57</v>
          </cell>
          <cell r="C1071">
            <v>1</v>
          </cell>
          <cell r="D1071">
            <v>85</v>
          </cell>
          <cell r="E1071" t="str">
            <v>A</v>
          </cell>
          <cell r="F1071">
            <v>2.5100000000000001E-2</v>
          </cell>
        </row>
        <row r="1072">
          <cell r="A1072" t="str">
            <v>57.1.85.N</v>
          </cell>
          <cell r="B1072">
            <v>57</v>
          </cell>
          <cell r="C1072">
            <v>1</v>
          </cell>
          <cell r="D1072">
            <v>85</v>
          </cell>
          <cell r="E1072" t="str">
            <v>N</v>
          </cell>
          <cell r="F1072">
            <v>2.5100000000000001E-2</v>
          </cell>
        </row>
        <row r="1073">
          <cell r="A1073" t="str">
            <v>57.1.88.0</v>
          </cell>
          <cell r="B1073">
            <v>57</v>
          </cell>
          <cell r="C1073">
            <v>1</v>
          </cell>
          <cell r="D1073">
            <v>88</v>
          </cell>
          <cell r="E1073">
            <v>0</v>
          </cell>
          <cell r="F1073">
            <v>2.5100000000000001E-2</v>
          </cell>
        </row>
        <row r="1074">
          <cell r="A1074" t="str">
            <v>57.1.88.A</v>
          </cell>
          <cell r="B1074">
            <v>57</v>
          </cell>
          <cell r="C1074">
            <v>1</v>
          </cell>
          <cell r="D1074">
            <v>88</v>
          </cell>
          <cell r="E1074" t="str">
            <v>A</v>
          </cell>
          <cell r="F1074">
            <v>2.5100000000000001E-2</v>
          </cell>
        </row>
        <row r="1075">
          <cell r="A1075" t="str">
            <v>57.1.89.0</v>
          </cell>
          <cell r="B1075">
            <v>57</v>
          </cell>
          <cell r="C1075">
            <v>1</v>
          </cell>
          <cell r="D1075">
            <v>89</v>
          </cell>
          <cell r="E1075">
            <v>0</v>
          </cell>
          <cell r="F1075">
            <v>2.5100000000000001E-2</v>
          </cell>
        </row>
        <row r="1076">
          <cell r="A1076" t="str">
            <v>57.1.89.A</v>
          </cell>
          <cell r="B1076">
            <v>57</v>
          </cell>
          <cell r="C1076">
            <v>1</v>
          </cell>
          <cell r="D1076">
            <v>89</v>
          </cell>
          <cell r="E1076" t="str">
            <v>A</v>
          </cell>
          <cell r="F1076">
            <v>2.5100000000000001E-2</v>
          </cell>
        </row>
        <row r="1077">
          <cell r="A1077" t="str">
            <v>57.1.90.0</v>
          </cell>
          <cell r="B1077">
            <v>57</v>
          </cell>
          <cell r="C1077">
            <v>1</v>
          </cell>
          <cell r="D1077">
            <v>90</v>
          </cell>
          <cell r="E1077">
            <v>0</v>
          </cell>
          <cell r="F1077">
            <v>2.5100000000000001E-2</v>
          </cell>
        </row>
        <row r="1078">
          <cell r="A1078" t="str">
            <v>57.1.90.A</v>
          </cell>
          <cell r="B1078">
            <v>57</v>
          </cell>
          <cell r="C1078">
            <v>1</v>
          </cell>
          <cell r="D1078">
            <v>90</v>
          </cell>
          <cell r="E1078" t="str">
            <v>A</v>
          </cell>
          <cell r="F1078">
            <v>2.5100000000000001E-2</v>
          </cell>
        </row>
        <row r="1079">
          <cell r="A1079" t="str">
            <v>57.1.91.0</v>
          </cell>
          <cell r="B1079">
            <v>57</v>
          </cell>
          <cell r="C1079">
            <v>1</v>
          </cell>
          <cell r="D1079">
            <v>91</v>
          </cell>
          <cell r="E1079">
            <v>0</v>
          </cell>
          <cell r="F1079">
            <v>2.5100000000000001E-2</v>
          </cell>
        </row>
        <row r="1080">
          <cell r="A1080" t="str">
            <v>57.1.91.A</v>
          </cell>
          <cell r="B1080">
            <v>57</v>
          </cell>
          <cell r="C1080">
            <v>1</v>
          </cell>
          <cell r="D1080">
            <v>91</v>
          </cell>
          <cell r="E1080" t="str">
            <v>A</v>
          </cell>
          <cell r="F1080">
            <v>2.5100000000000001E-2</v>
          </cell>
        </row>
        <row r="1081">
          <cell r="A1081" t="str">
            <v>57.1.92.0</v>
          </cell>
          <cell r="B1081">
            <v>57</v>
          </cell>
          <cell r="C1081">
            <v>1</v>
          </cell>
          <cell r="D1081">
            <v>92</v>
          </cell>
          <cell r="E1081">
            <v>0</v>
          </cell>
          <cell r="F1081">
            <v>2.5100000000000001E-2</v>
          </cell>
        </row>
        <row r="1082">
          <cell r="A1082" t="str">
            <v>57.1.92.A</v>
          </cell>
          <cell r="B1082">
            <v>57</v>
          </cell>
          <cell r="C1082">
            <v>1</v>
          </cell>
          <cell r="D1082">
            <v>92</v>
          </cell>
          <cell r="E1082" t="str">
            <v>A</v>
          </cell>
          <cell r="F1082">
            <v>2.5100000000000001E-2</v>
          </cell>
        </row>
        <row r="1083">
          <cell r="A1083" t="str">
            <v>57.1.92.N</v>
          </cell>
          <cell r="B1083">
            <v>57</v>
          </cell>
          <cell r="C1083">
            <v>1</v>
          </cell>
          <cell r="D1083">
            <v>92</v>
          </cell>
          <cell r="E1083" t="str">
            <v>N</v>
          </cell>
          <cell r="F1083">
            <v>2.5100000000000001E-2</v>
          </cell>
        </row>
        <row r="1084">
          <cell r="A1084" t="str">
            <v>57.1.93.0</v>
          </cell>
          <cell r="B1084">
            <v>57</v>
          </cell>
          <cell r="C1084">
            <v>1</v>
          </cell>
          <cell r="D1084">
            <v>93</v>
          </cell>
          <cell r="E1084">
            <v>0</v>
          </cell>
          <cell r="F1084">
            <v>2.5100000000000001E-2</v>
          </cell>
        </row>
        <row r="1085">
          <cell r="A1085" t="str">
            <v>57.1.93.A</v>
          </cell>
          <cell r="B1085">
            <v>57</v>
          </cell>
          <cell r="C1085">
            <v>1</v>
          </cell>
          <cell r="D1085">
            <v>93</v>
          </cell>
          <cell r="E1085" t="str">
            <v>A</v>
          </cell>
          <cell r="F1085">
            <v>2.5100000000000001E-2</v>
          </cell>
        </row>
        <row r="1086">
          <cell r="A1086" t="str">
            <v>57.1.93.N</v>
          </cell>
          <cell r="B1086">
            <v>57</v>
          </cell>
          <cell r="C1086">
            <v>1</v>
          </cell>
          <cell r="D1086">
            <v>93</v>
          </cell>
          <cell r="E1086" t="str">
            <v>N</v>
          </cell>
          <cell r="F1086">
            <v>2.5100000000000001E-2</v>
          </cell>
        </row>
        <row r="1087">
          <cell r="A1087" t="str">
            <v>57.1.94.0</v>
          </cell>
          <cell r="B1087">
            <v>57</v>
          </cell>
          <cell r="C1087">
            <v>1</v>
          </cell>
          <cell r="D1087">
            <v>94</v>
          </cell>
          <cell r="E1087">
            <v>0</v>
          </cell>
          <cell r="F1087">
            <v>2.5100000000000001E-2</v>
          </cell>
        </row>
        <row r="1088">
          <cell r="A1088" t="str">
            <v>57.1.94.A</v>
          </cell>
          <cell r="B1088">
            <v>57</v>
          </cell>
          <cell r="C1088">
            <v>1</v>
          </cell>
          <cell r="D1088">
            <v>94</v>
          </cell>
          <cell r="E1088" t="str">
            <v>A</v>
          </cell>
          <cell r="F1088">
            <v>2.5100000000000001E-2</v>
          </cell>
        </row>
        <row r="1089">
          <cell r="A1089" t="str">
            <v>57.1.94.F</v>
          </cell>
          <cell r="B1089">
            <v>57</v>
          </cell>
          <cell r="C1089">
            <v>1</v>
          </cell>
          <cell r="D1089">
            <v>94</v>
          </cell>
          <cell r="E1089" t="str">
            <v>F</v>
          </cell>
          <cell r="F1089">
            <v>2.5100000000000001E-2</v>
          </cell>
        </row>
        <row r="1090">
          <cell r="A1090" t="str">
            <v>57.1.94.N</v>
          </cell>
          <cell r="B1090">
            <v>57</v>
          </cell>
          <cell r="C1090">
            <v>1</v>
          </cell>
          <cell r="D1090">
            <v>94</v>
          </cell>
          <cell r="E1090" t="str">
            <v>N</v>
          </cell>
          <cell r="F1090">
            <v>2.5100000000000001E-2</v>
          </cell>
        </row>
        <row r="1091">
          <cell r="A1091" t="str">
            <v>57.1.95.0</v>
          </cell>
          <cell r="B1091">
            <v>57</v>
          </cell>
          <cell r="C1091">
            <v>1</v>
          </cell>
          <cell r="D1091">
            <v>95</v>
          </cell>
          <cell r="E1091">
            <v>0</v>
          </cell>
          <cell r="F1091">
            <v>2.5100000000000001E-2</v>
          </cell>
        </row>
        <row r="1092">
          <cell r="A1092" t="str">
            <v>57.1.95.A</v>
          </cell>
          <cell r="B1092">
            <v>57</v>
          </cell>
          <cell r="C1092">
            <v>1</v>
          </cell>
          <cell r="D1092">
            <v>95</v>
          </cell>
          <cell r="E1092" t="str">
            <v>A</v>
          </cell>
          <cell r="F1092">
            <v>2.5100000000000001E-2</v>
          </cell>
        </row>
        <row r="1093">
          <cell r="A1093" t="str">
            <v>57.1.98.0</v>
          </cell>
          <cell r="B1093">
            <v>57</v>
          </cell>
          <cell r="C1093">
            <v>1</v>
          </cell>
          <cell r="D1093">
            <v>98</v>
          </cell>
          <cell r="E1093">
            <v>0</v>
          </cell>
          <cell r="F1093">
            <v>0</v>
          </cell>
        </row>
        <row r="1094">
          <cell r="A1094" t="str">
            <v>57.1.98.A</v>
          </cell>
          <cell r="B1094">
            <v>57</v>
          </cell>
          <cell r="C1094">
            <v>1</v>
          </cell>
          <cell r="D1094">
            <v>98</v>
          </cell>
          <cell r="E1094" t="str">
            <v>A</v>
          </cell>
          <cell r="F1094">
            <v>0</v>
          </cell>
        </row>
        <row r="1095">
          <cell r="A1095" t="str">
            <v>57.1.98.C</v>
          </cell>
          <cell r="B1095">
            <v>57</v>
          </cell>
          <cell r="C1095">
            <v>1</v>
          </cell>
          <cell r="D1095">
            <v>98</v>
          </cell>
          <cell r="E1095" t="str">
            <v>C</v>
          </cell>
          <cell r="F1095">
            <v>0</v>
          </cell>
        </row>
        <row r="1096">
          <cell r="A1096" t="str">
            <v>58.1.0.0</v>
          </cell>
          <cell r="B1096">
            <v>58</v>
          </cell>
          <cell r="C1096">
            <v>1</v>
          </cell>
          <cell r="D1096">
            <v>0</v>
          </cell>
          <cell r="E1096">
            <v>0</v>
          </cell>
          <cell r="F1096">
            <v>0.12</v>
          </cell>
        </row>
        <row r="1097">
          <cell r="A1097" t="str">
            <v>58.14.0.0</v>
          </cell>
          <cell r="B1097">
            <v>58</v>
          </cell>
          <cell r="C1097">
            <v>14</v>
          </cell>
          <cell r="D1097">
            <v>0</v>
          </cell>
          <cell r="E1097">
            <v>0</v>
          </cell>
          <cell r="F1097">
            <v>0.12</v>
          </cell>
        </row>
        <row r="1098">
          <cell r="A1098" t="str">
            <v>58.1.0.A</v>
          </cell>
          <cell r="B1098">
            <v>58</v>
          </cell>
          <cell r="C1098">
            <v>1</v>
          </cell>
          <cell r="D1098">
            <v>0</v>
          </cell>
          <cell r="E1098" t="str">
            <v>A</v>
          </cell>
          <cell r="F1098">
            <v>0.12</v>
          </cell>
        </row>
        <row r="1099">
          <cell r="A1099" t="str">
            <v>58.14.0.A</v>
          </cell>
          <cell r="B1099">
            <v>58</v>
          </cell>
          <cell r="C1099">
            <v>14</v>
          </cell>
          <cell r="D1099">
            <v>0</v>
          </cell>
          <cell r="E1099" t="str">
            <v>A</v>
          </cell>
          <cell r="F1099">
            <v>0.12</v>
          </cell>
        </row>
        <row r="1100">
          <cell r="A1100" t="str">
            <v>58.1.0.E</v>
          </cell>
          <cell r="B1100">
            <v>58</v>
          </cell>
          <cell r="C1100">
            <v>1</v>
          </cell>
          <cell r="D1100">
            <v>0</v>
          </cell>
          <cell r="E1100" t="str">
            <v>E</v>
          </cell>
          <cell r="F1100">
            <v>0.12</v>
          </cell>
        </row>
        <row r="1101">
          <cell r="A1101" t="str">
            <v>58.0E.0.E</v>
          </cell>
          <cell r="B1101">
            <v>58</v>
          </cell>
          <cell r="C1101" t="str">
            <v>0E</v>
          </cell>
          <cell r="D1101">
            <v>0</v>
          </cell>
          <cell r="E1101" t="str">
            <v>E</v>
          </cell>
          <cell r="F1101">
            <v>0.12</v>
          </cell>
        </row>
        <row r="1102">
          <cell r="A1102" t="str">
            <v>58.1.0.N</v>
          </cell>
          <cell r="B1102">
            <v>58</v>
          </cell>
          <cell r="C1102">
            <v>1</v>
          </cell>
          <cell r="D1102">
            <v>0</v>
          </cell>
          <cell r="E1102" t="str">
            <v>N</v>
          </cell>
          <cell r="F1102">
            <v>0.12</v>
          </cell>
        </row>
        <row r="1103">
          <cell r="A1103" t="str">
            <v>58.0E.0.N</v>
          </cell>
          <cell r="B1103">
            <v>58</v>
          </cell>
          <cell r="C1103" t="str">
            <v>0E</v>
          </cell>
          <cell r="D1103">
            <v>0</v>
          </cell>
          <cell r="E1103" t="str">
            <v>N</v>
          </cell>
          <cell r="F1103">
            <v>0.12</v>
          </cell>
        </row>
        <row r="1104">
          <cell r="A1104" t="str">
            <v>58.0M.0.N</v>
          </cell>
          <cell r="B1104">
            <v>58</v>
          </cell>
          <cell r="C1104" t="str">
            <v>0M</v>
          </cell>
          <cell r="D1104">
            <v>0</v>
          </cell>
          <cell r="E1104" t="str">
            <v>N</v>
          </cell>
          <cell r="F1104">
            <v>0.12</v>
          </cell>
        </row>
        <row r="1105">
          <cell r="A1105" t="str">
            <v>58.0U.0.N</v>
          </cell>
          <cell r="B1105">
            <v>58</v>
          </cell>
          <cell r="C1105" t="str">
            <v>0U</v>
          </cell>
          <cell r="D1105">
            <v>0</v>
          </cell>
          <cell r="E1105" t="str">
            <v>N</v>
          </cell>
          <cell r="F1105">
            <v>0.12</v>
          </cell>
        </row>
        <row r="1106">
          <cell r="A1106" t="str">
            <v>58.27.0.N</v>
          </cell>
          <cell r="B1106">
            <v>58</v>
          </cell>
          <cell r="C1106">
            <v>27</v>
          </cell>
          <cell r="D1106">
            <v>0</v>
          </cell>
          <cell r="E1106" t="str">
            <v>N</v>
          </cell>
          <cell r="F1106">
            <v>0.12</v>
          </cell>
        </row>
        <row r="1107">
          <cell r="A1107" t="str">
            <v>58.7A.0.N</v>
          </cell>
          <cell r="B1107">
            <v>58</v>
          </cell>
          <cell r="C1107" t="str">
            <v>7A</v>
          </cell>
          <cell r="D1107">
            <v>0</v>
          </cell>
          <cell r="E1107" t="str">
            <v>N</v>
          </cell>
          <cell r="F1107">
            <v>0.12</v>
          </cell>
        </row>
        <row r="1108">
          <cell r="A1108" t="str">
            <v>58.1.1.0</v>
          </cell>
          <cell r="B1108">
            <v>58</v>
          </cell>
          <cell r="C1108">
            <v>1</v>
          </cell>
          <cell r="D1108">
            <v>1</v>
          </cell>
          <cell r="E1108">
            <v>0</v>
          </cell>
          <cell r="F1108">
            <v>0.12</v>
          </cell>
        </row>
        <row r="1109">
          <cell r="A1109" t="str">
            <v>58.1.1.A</v>
          </cell>
          <cell r="B1109">
            <v>58</v>
          </cell>
          <cell r="C1109">
            <v>1</v>
          </cell>
          <cell r="D1109">
            <v>1</v>
          </cell>
          <cell r="E1109" t="str">
            <v>A</v>
          </cell>
          <cell r="F1109">
            <v>0.12</v>
          </cell>
        </row>
        <row r="1110">
          <cell r="A1110" t="str">
            <v>58.1.5.0</v>
          </cell>
          <cell r="B1110">
            <v>58</v>
          </cell>
          <cell r="C1110">
            <v>1</v>
          </cell>
          <cell r="D1110">
            <v>5</v>
          </cell>
          <cell r="E1110">
            <v>0</v>
          </cell>
          <cell r="F1110">
            <v>0.12</v>
          </cell>
        </row>
        <row r="1111">
          <cell r="A1111" t="str">
            <v>58.1.5.A</v>
          </cell>
          <cell r="B1111">
            <v>58</v>
          </cell>
          <cell r="C1111">
            <v>1</v>
          </cell>
          <cell r="D1111">
            <v>5</v>
          </cell>
          <cell r="E1111" t="str">
            <v>A</v>
          </cell>
          <cell r="F1111">
            <v>0.12</v>
          </cell>
        </row>
        <row r="1112">
          <cell r="A1112" t="str">
            <v>58.1.5.E</v>
          </cell>
          <cell r="B1112">
            <v>58</v>
          </cell>
          <cell r="C1112">
            <v>1</v>
          </cell>
          <cell r="D1112">
            <v>5</v>
          </cell>
          <cell r="E1112" t="str">
            <v>E</v>
          </cell>
          <cell r="F1112">
            <v>0.12</v>
          </cell>
        </row>
        <row r="1113">
          <cell r="A1113" t="str">
            <v>58.1.5.N</v>
          </cell>
          <cell r="B1113">
            <v>58</v>
          </cell>
          <cell r="C1113">
            <v>1</v>
          </cell>
          <cell r="D1113">
            <v>5</v>
          </cell>
          <cell r="E1113" t="str">
            <v>N</v>
          </cell>
          <cell r="F1113">
            <v>0.12</v>
          </cell>
        </row>
        <row r="1114">
          <cell r="A1114" t="str">
            <v>58.1.6.0</v>
          </cell>
          <cell r="B1114">
            <v>58</v>
          </cell>
          <cell r="C1114">
            <v>1</v>
          </cell>
          <cell r="D1114">
            <v>6</v>
          </cell>
          <cell r="E1114">
            <v>0</v>
          </cell>
          <cell r="F1114">
            <v>0.12</v>
          </cell>
        </row>
        <row r="1115">
          <cell r="A1115" t="str">
            <v>58.14.6.0</v>
          </cell>
          <cell r="B1115">
            <v>58</v>
          </cell>
          <cell r="C1115">
            <v>14</v>
          </cell>
          <cell r="D1115">
            <v>6</v>
          </cell>
          <cell r="E1115">
            <v>0</v>
          </cell>
          <cell r="F1115">
            <v>0.12</v>
          </cell>
        </row>
        <row r="1116">
          <cell r="A1116" t="str">
            <v>58.14.6.A</v>
          </cell>
          <cell r="B1116">
            <v>58</v>
          </cell>
          <cell r="C1116">
            <v>14</v>
          </cell>
          <cell r="D1116">
            <v>6</v>
          </cell>
          <cell r="E1116" t="str">
            <v>A</v>
          </cell>
          <cell r="F1116">
            <v>0.12</v>
          </cell>
        </row>
        <row r="1117">
          <cell r="A1117" t="str">
            <v>58.1.6.E</v>
          </cell>
          <cell r="B1117">
            <v>58</v>
          </cell>
          <cell r="C1117">
            <v>1</v>
          </cell>
          <cell r="D1117">
            <v>6</v>
          </cell>
          <cell r="E1117" t="str">
            <v>E</v>
          </cell>
          <cell r="F1117">
            <v>0.12</v>
          </cell>
        </row>
        <row r="1118">
          <cell r="A1118" t="str">
            <v>58.1.6.N</v>
          </cell>
          <cell r="B1118">
            <v>58</v>
          </cell>
          <cell r="C1118">
            <v>1</v>
          </cell>
          <cell r="D1118">
            <v>6</v>
          </cell>
          <cell r="E1118" t="str">
            <v>N</v>
          </cell>
          <cell r="F1118">
            <v>0.12</v>
          </cell>
        </row>
        <row r="1119">
          <cell r="A1119" t="str">
            <v>58.1.7.N</v>
          </cell>
          <cell r="B1119">
            <v>58</v>
          </cell>
          <cell r="C1119">
            <v>1</v>
          </cell>
          <cell r="D1119">
            <v>7</v>
          </cell>
          <cell r="E1119" t="str">
            <v>N</v>
          </cell>
          <cell r="F1119">
            <v>9.0399999999999994E-2</v>
          </cell>
        </row>
        <row r="1120">
          <cell r="A1120" t="str">
            <v>58.1.8.0</v>
          </cell>
          <cell r="B1120">
            <v>58</v>
          </cell>
          <cell r="C1120">
            <v>1</v>
          </cell>
          <cell r="D1120">
            <v>8</v>
          </cell>
          <cell r="E1120">
            <v>0</v>
          </cell>
          <cell r="F1120">
            <v>8.8200000000000001E-2</v>
          </cell>
        </row>
        <row r="1121">
          <cell r="A1121" t="str">
            <v>58.1.8.A</v>
          </cell>
          <cell r="B1121">
            <v>58</v>
          </cell>
          <cell r="C1121">
            <v>1</v>
          </cell>
          <cell r="D1121">
            <v>8</v>
          </cell>
          <cell r="E1121" t="str">
            <v>A</v>
          </cell>
          <cell r="F1121">
            <v>8.8200000000000001E-2</v>
          </cell>
        </row>
        <row r="1122">
          <cell r="A1122" t="str">
            <v>58.1.9.0</v>
          </cell>
          <cell r="B1122">
            <v>58</v>
          </cell>
          <cell r="C1122">
            <v>1</v>
          </cell>
          <cell r="D1122">
            <v>9</v>
          </cell>
          <cell r="E1122">
            <v>0</v>
          </cell>
          <cell r="F1122">
            <v>8.8200000000000001E-2</v>
          </cell>
        </row>
        <row r="1123">
          <cell r="A1123" t="str">
            <v>58.14.9.0</v>
          </cell>
          <cell r="B1123">
            <v>58</v>
          </cell>
          <cell r="C1123">
            <v>14</v>
          </cell>
          <cell r="D1123">
            <v>9</v>
          </cell>
          <cell r="E1123">
            <v>0</v>
          </cell>
          <cell r="F1123">
            <v>8.8200000000000001E-2</v>
          </cell>
        </row>
        <row r="1124">
          <cell r="A1124" t="str">
            <v>58.1.9.A</v>
          </cell>
          <cell r="B1124">
            <v>58</v>
          </cell>
          <cell r="C1124">
            <v>1</v>
          </cell>
          <cell r="D1124">
            <v>9</v>
          </cell>
          <cell r="E1124" t="str">
            <v>A</v>
          </cell>
          <cell r="F1124">
            <v>8.8200000000000001E-2</v>
          </cell>
        </row>
        <row r="1125">
          <cell r="A1125" t="str">
            <v>58.14.9.A</v>
          </cell>
          <cell r="B1125">
            <v>58</v>
          </cell>
          <cell r="C1125">
            <v>14</v>
          </cell>
          <cell r="D1125">
            <v>9</v>
          </cell>
          <cell r="E1125" t="str">
            <v>A</v>
          </cell>
          <cell r="F1125">
            <v>8.8200000000000001E-2</v>
          </cell>
        </row>
        <row r="1126">
          <cell r="A1126" t="str">
            <v>58.1.9.E</v>
          </cell>
          <cell r="B1126">
            <v>58</v>
          </cell>
          <cell r="C1126">
            <v>1</v>
          </cell>
          <cell r="D1126">
            <v>9</v>
          </cell>
          <cell r="E1126" t="str">
            <v>E</v>
          </cell>
          <cell r="F1126">
            <v>8.8200000000000001E-2</v>
          </cell>
        </row>
        <row r="1127">
          <cell r="A1127" t="str">
            <v>58.1.9.N</v>
          </cell>
          <cell r="B1127">
            <v>58</v>
          </cell>
          <cell r="C1127">
            <v>1</v>
          </cell>
          <cell r="D1127">
            <v>9</v>
          </cell>
          <cell r="E1127" t="str">
            <v>N</v>
          </cell>
          <cell r="F1127">
            <v>8.8200000000000001E-2</v>
          </cell>
        </row>
        <row r="1128">
          <cell r="A1128" t="str">
            <v>58.14.9.N</v>
          </cell>
          <cell r="B1128">
            <v>58</v>
          </cell>
          <cell r="C1128">
            <v>14</v>
          </cell>
          <cell r="D1128">
            <v>9</v>
          </cell>
          <cell r="E1128" t="str">
            <v>N</v>
          </cell>
          <cell r="F1128">
            <v>8.8200000000000001E-2</v>
          </cell>
        </row>
        <row r="1129">
          <cell r="A1129" t="str">
            <v>58.1.10.0</v>
          </cell>
          <cell r="B1129">
            <v>58</v>
          </cell>
          <cell r="C1129">
            <v>1</v>
          </cell>
          <cell r="D1129">
            <v>10</v>
          </cell>
          <cell r="E1129">
            <v>0</v>
          </cell>
          <cell r="F1129">
            <v>8.8200000000000001E-2</v>
          </cell>
        </row>
        <row r="1130">
          <cell r="A1130" t="str">
            <v>58.14.10.0</v>
          </cell>
          <cell r="B1130">
            <v>58</v>
          </cell>
          <cell r="C1130">
            <v>14</v>
          </cell>
          <cell r="D1130">
            <v>10</v>
          </cell>
          <cell r="E1130">
            <v>0</v>
          </cell>
          <cell r="F1130">
            <v>8.8200000000000001E-2</v>
          </cell>
        </row>
        <row r="1131">
          <cell r="A1131" t="str">
            <v>58.1.10.A</v>
          </cell>
          <cell r="B1131">
            <v>58</v>
          </cell>
          <cell r="C1131">
            <v>1</v>
          </cell>
          <cell r="D1131">
            <v>10</v>
          </cell>
          <cell r="E1131" t="str">
            <v>A</v>
          </cell>
          <cell r="F1131">
            <v>8.8200000000000001E-2</v>
          </cell>
        </row>
        <row r="1132">
          <cell r="A1132" t="str">
            <v>58.14.10.A</v>
          </cell>
          <cell r="B1132">
            <v>58</v>
          </cell>
          <cell r="C1132">
            <v>14</v>
          </cell>
          <cell r="D1132">
            <v>10</v>
          </cell>
          <cell r="E1132" t="str">
            <v>A</v>
          </cell>
          <cell r="F1132">
            <v>8.8200000000000001E-2</v>
          </cell>
        </row>
        <row r="1133">
          <cell r="A1133" t="str">
            <v>58.1.10.E</v>
          </cell>
          <cell r="B1133">
            <v>58</v>
          </cell>
          <cell r="C1133">
            <v>1</v>
          </cell>
          <cell r="D1133">
            <v>10</v>
          </cell>
          <cell r="E1133" t="str">
            <v>E</v>
          </cell>
          <cell r="F1133">
            <v>8.8200000000000001E-2</v>
          </cell>
        </row>
        <row r="1134">
          <cell r="A1134" t="str">
            <v>58.1.10.F</v>
          </cell>
          <cell r="B1134">
            <v>58</v>
          </cell>
          <cell r="C1134">
            <v>1</v>
          </cell>
          <cell r="D1134">
            <v>10</v>
          </cell>
          <cell r="E1134" t="str">
            <v>F</v>
          </cell>
          <cell r="F1134">
            <v>8.8200000000000001E-2</v>
          </cell>
        </row>
        <row r="1135">
          <cell r="A1135" t="str">
            <v>58.1.10.N</v>
          </cell>
          <cell r="B1135">
            <v>58</v>
          </cell>
          <cell r="C1135">
            <v>1</v>
          </cell>
          <cell r="D1135">
            <v>10</v>
          </cell>
          <cell r="E1135" t="str">
            <v>N</v>
          </cell>
          <cell r="F1135">
            <v>8.8200000000000001E-2</v>
          </cell>
        </row>
        <row r="1136">
          <cell r="A1136" t="str">
            <v>58.0E.10.N</v>
          </cell>
          <cell r="B1136">
            <v>58</v>
          </cell>
          <cell r="C1136" t="str">
            <v>0E</v>
          </cell>
          <cell r="D1136">
            <v>10</v>
          </cell>
          <cell r="E1136" t="str">
            <v>N</v>
          </cell>
          <cell r="F1136">
            <v>8.8200000000000001E-2</v>
          </cell>
        </row>
        <row r="1137">
          <cell r="A1137" t="str">
            <v>58.0M.10.N</v>
          </cell>
          <cell r="B1137">
            <v>58</v>
          </cell>
          <cell r="C1137" t="str">
            <v>0M</v>
          </cell>
          <cell r="D1137">
            <v>10</v>
          </cell>
          <cell r="E1137" t="str">
            <v>N</v>
          </cell>
          <cell r="F1137">
            <v>8.8200000000000001E-2</v>
          </cell>
        </row>
        <row r="1138">
          <cell r="A1138" t="str">
            <v>58.0U.10.N</v>
          </cell>
          <cell r="B1138">
            <v>58</v>
          </cell>
          <cell r="C1138" t="str">
            <v>0U</v>
          </cell>
          <cell r="D1138">
            <v>10</v>
          </cell>
          <cell r="E1138" t="str">
            <v>N</v>
          </cell>
          <cell r="F1138">
            <v>8.8200000000000001E-2</v>
          </cell>
        </row>
        <row r="1139">
          <cell r="A1139" t="str">
            <v>58.12.10.N</v>
          </cell>
          <cell r="B1139">
            <v>58</v>
          </cell>
          <cell r="C1139">
            <v>12</v>
          </cell>
          <cell r="D1139">
            <v>10</v>
          </cell>
          <cell r="E1139" t="str">
            <v>N</v>
          </cell>
          <cell r="F1139">
            <v>8.8200000000000001E-2</v>
          </cell>
        </row>
        <row r="1140">
          <cell r="A1140" t="str">
            <v>58.1.11.0</v>
          </cell>
          <cell r="B1140">
            <v>58</v>
          </cell>
          <cell r="C1140">
            <v>1</v>
          </cell>
          <cell r="D1140">
            <v>11</v>
          </cell>
          <cell r="E1140">
            <v>0</v>
          </cell>
          <cell r="F1140">
            <v>8.8200000000000001E-2</v>
          </cell>
        </row>
        <row r="1141">
          <cell r="A1141" t="str">
            <v>58.1.11.N</v>
          </cell>
          <cell r="B1141">
            <v>58</v>
          </cell>
          <cell r="C1141">
            <v>1</v>
          </cell>
          <cell r="D1141">
            <v>11</v>
          </cell>
          <cell r="E1141" t="str">
            <v>N</v>
          </cell>
          <cell r="F1141">
            <v>8.8200000000000001E-2</v>
          </cell>
        </row>
        <row r="1142">
          <cell r="A1142" t="str">
            <v>58.1.15.0</v>
          </cell>
          <cell r="B1142">
            <v>58</v>
          </cell>
          <cell r="C1142">
            <v>1</v>
          </cell>
          <cell r="D1142">
            <v>15</v>
          </cell>
          <cell r="E1142">
            <v>0</v>
          </cell>
          <cell r="F1142">
            <v>9.0399999999999994E-2</v>
          </cell>
        </row>
        <row r="1143">
          <cell r="A1143" t="str">
            <v>58.1.15.A</v>
          </cell>
          <cell r="B1143">
            <v>58</v>
          </cell>
          <cell r="C1143">
            <v>1</v>
          </cell>
          <cell r="D1143">
            <v>15</v>
          </cell>
          <cell r="E1143" t="str">
            <v>A</v>
          </cell>
          <cell r="F1143">
            <v>9.0399999999999994E-2</v>
          </cell>
        </row>
        <row r="1144">
          <cell r="A1144" t="str">
            <v>58.1.15.E</v>
          </cell>
          <cell r="B1144">
            <v>58</v>
          </cell>
          <cell r="C1144">
            <v>1</v>
          </cell>
          <cell r="D1144">
            <v>15</v>
          </cell>
          <cell r="E1144" t="str">
            <v>E</v>
          </cell>
          <cell r="F1144">
            <v>9.0399999999999994E-2</v>
          </cell>
        </row>
        <row r="1145">
          <cell r="A1145" t="str">
            <v>58.1.15.N</v>
          </cell>
          <cell r="B1145">
            <v>58</v>
          </cell>
          <cell r="C1145">
            <v>1</v>
          </cell>
          <cell r="D1145">
            <v>15</v>
          </cell>
          <cell r="E1145" t="str">
            <v>N</v>
          </cell>
          <cell r="F1145">
            <v>9.0399999999999994E-2</v>
          </cell>
        </row>
        <row r="1146">
          <cell r="A1146" t="str">
            <v>58.1.35.0</v>
          </cell>
          <cell r="B1146">
            <v>58</v>
          </cell>
          <cell r="C1146">
            <v>1</v>
          </cell>
          <cell r="D1146">
            <v>35</v>
          </cell>
          <cell r="E1146">
            <v>0</v>
          </cell>
          <cell r="F1146">
            <v>9.0399999999999994E-2</v>
          </cell>
        </row>
        <row r="1147">
          <cell r="A1147" t="str">
            <v>58.1.35.A</v>
          </cell>
          <cell r="B1147">
            <v>58</v>
          </cell>
          <cell r="C1147">
            <v>1</v>
          </cell>
          <cell r="D1147">
            <v>35</v>
          </cell>
          <cell r="E1147" t="str">
            <v>A</v>
          </cell>
          <cell r="F1147">
            <v>9.0399999999999994E-2</v>
          </cell>
        </row>
        <row r="1148">
          <cell r="A1148" t="str">
            <v>58.1.35.N</v>
          </cell>
          <cell r="B1148">
            <v>58</v>
          </cell>
          <cell r="C1148">
            <v>1</v>
          </cell>
          <cell r="D1148">
            <v>35</v>
          </cell>
          <cell r="E1148" t="str">
            <v>N</v>
          </cell>
          <cell r="F1148">
            <v>9.0399999999999994E-2</v>
          </cell>
        </row>
        <row r="1149">
          <cell r="A1149" t="str">
            <v>58.1.40.0</v>
          </cell>
          <cell r="B1149">
            <v>58</v>
          </cell>
          <cell r="C1149">
            <v>1</v>
          </cell>
          <cell r="D1149">
            <v>40</v>
          </cell>
          <cell r="E1149">
            <v>0</v>
          </cell>
          <cell r="F1149">
            <v>8.8200000000000001E-2</v>
          </cell>
        </row>
        <row r="1150">
          <cell r="A1150" t="str">
            <v>58.1.40.A</v>
          </cell>
          <cell r="B1150">
            <v>58</v>
          </cell>
          <cell r="C1150">
            <v>1</v>
          </cell>
          <cell r="D1150">
            <v>40</v>
          </cell>
          <cell r="E1150" t="str">
            <v>A</v>
          </cell>
          <cell r="F1150">
            <v>8.8200000000000001E-2</v>
          </cell>
        </row>
        <row r="1151">
          <cell r="A1151" t="str">
            <v>58.1.40.E</v>
          </cell>
          <cell r="B1151">
            <v>58</v>
          </cell>
          <cell r="C1151">
            <v>1</v>
          </cell>
          <cell r="D1151">
            <v>40</v>
          </cell>
          <cell r="E1151" t="str">
            <v>E</v>
          </cell>
          <cell r="F1151">
            <v>8.8200000000000001E-2</v>
          </cell>
        </row>
        <row r="1152">
          <cell r="A1152" t="str">
            <v>58.1.40.N</v>
          </cell>
          <cell r="B1152">
            <v>58</v>
          </cell>
          <cell r="C1152">
            <v>1</v>
          </cell>
          <cell r="D1152">
            <v>40</v>
          </cell>
          <cell r="E1152" t="str">
            <v>N</v>
          </cell>
          <cell r="F1152">
            <v>8.8200000000000001E-2</v>
          </cell>
        </row>
        <row r="1153">
          <cell r="A1153" t="str">
            <v>58.0U.40.N</v>
          </cell>
          <cell r="B1153">
            <v>58</v>
          </cell>
          <cell r="C1153" t="str">
            <v>0U</v>
          </cell>
          <cell r="D1153">
            <v>40</v>
          </cell>
          <cell r="E1153" t="str">
            <v>N</v>
          </cell>
          <cell r="F1153">
            <v>8.8200000000000001E-2</v>
          </cell>
        </row>
        <row r="1154">
          <cell r="A1154" t="str">
            <v>58.1.45.0</v>
          </cell>
          <cell r="B1154">
            <v>58</v>
          </cell>
          <cell r="C1154">
            <v>1</v>
          </cell>
          <cell r="D1154">
            <v>45</v>
          </cell>
          <cell r="E1154">
            <v>0</v>
          </cell>
          <cell r="F1154">
            <v>9.0399999999999994E-2</v>
          </cell>
        </row>
        <row r="1155">
          <cell r="A1155" t="str">
            <v>58.1.45.A</v>
          </cell>
          <cell r="B1155">
            <v>58</v>
          </cell>
          <cell r="C1155">
            <v>1</v>
          </cell>
          <cell r="D1155">
            <v>45</v>
          </cell>
          <cell r="E1155" t="str">
            <v>A</v>
          </cell>
          <cell r="F1155">
            <v>9.0399999999999994E-2</v>
          </cell>
        </row>
        <row r="1156">
          <cell r="A1156" t="str">
            <v>58.1.45.F</v>
          </cell>
          <cell r="B1156">
            <v>58</v>
          </cell>
          <cell r="C1156">
            <v>1</v>
          </cell>
          <cell r="D1156">
            <v>45</v>
          </cell>
          <cell r="E1156" t="str">
            <v>F</v>
          </cell>
          <cell r="F1156">
            <v>9.0399999999999994E-2</v>
          </cell>
        </row>
        <row r="1157">
          <cell r="A1157" t="str">
            <v>58.1.45.N</v>
          </cell>
          <cell r="B1157">
            <v>58</v>
          </cell>
          <cell r="C1157">
            <v>1</v>
          </cell>
          <cell r="D1157">
            <v>45</v>
          </cell>
          <cell r="E1157" t="str">
            <v>N</v>
          </cell>
          <cell r="F1157">
            <v>9.0399999999999994E-2</v>
          </cell>
        </row>
        <row r="1158">
          <cell r="A1158" t="str">
            <v>58.1.50.0</v>
          </cell>
          <cell r="B1158">
            <v>58</v>
          </cell>
          <cell r="C1158">
            <v>1</v>
          </cell>
          <cell r="D1158">
            <v>50</v>
          </cell>
          <cell r="E1158">
            <v>0</v>
          </cell>
          <cell r="F1158">
            <v>9.0399999999999994E-2</v>
          </cell>
        </row>
        <row r="1159">
          <cell r="A1159" t="str">
            <v>58.1.50.A</v>
          </cell>
          <cell r="B1159">
            <v>58</v>
          </cell>
          <cell r="C1159">
            <v>1</v>
          </cell>
          <cell r="D1159">
            <v>50</v>
          </cell>
          <cell r="E1159" t="str">
            <v>A</v>
          </cell>
          <cell r="F1159">
            <v>9.0399999999999994E-2</v>
          </cell>
        </row>
        <row r="1160">
          <cell r="A1160" t="str">
            <v>58.1.50.N</v>
          </cell>
          <cell r="B1160">
            <v>58</v>
          </cell>
          <cell r="C1160">
            <v>1</v>
          </cell>
          <cell r="D1160">
            <v>50</v>
          </cell>
          <cell r="E1160" t="str">
            <v>N</v>
          </cell>
          <cell r="F1160">
            <v>9.0399999999999994E-2</v>
          </cell>
        </row>
        <row r="1161">
          <cell r="A1161" t="str">
            <v>58.1.55.0</v>
          </cell>
          <cell r="B1161">
            <v>58</v>
          </cell>
          <cell r="C1161">
            <v>1</v>
          </cell>
          <cell r="D1161">
            <v>55</v>
          </cell>
          <cell r="E1161">
            <v>0</v>
          </cell>
          <cell r="F1161">
            <v>0.125</v>
          </cell>
        </row>
        <row r="1162">
          <cell r="A1162" t="str">
            <v>58.1.55.A</v>
          </cell>
          <cell r="B1162">
            <v>58</v>
          </cell>
          <cell r="C1162">
            <v>1</v>
          </cell>
          <cell r="D1162">
            <v>55</v>
          </cell>
          <cell r="E1162" t="str">
            <v>A</v>
          </cell>
          <cell r="F1162">
            <v>0.125</v>
          </cell>
        </row>
        <row r="1163">
          <cell r="A1163" t="str">
            <v>58.1.60.0</v>
          </cell>
          <cell r="B1163">
            <v>58</v>
          </cell>
          <cell r="C1163">
            <v>1</v>
          </cell>
          <cell r="D1163">
            <v>60</v>
          </cell>
          <cell r="E1163">
            <v>0</v>
          </cell>
          <cell r="F1163">
            <v>0.125</v>
          </cell>
        </row>
        <row r="1164">
          <cell r="A1164" t="str">
            <v>58.1.60.A</v>
          </cell>
          <cell r="B1164">
            <v>58</v>
          </cell>
          <cell r="C1164">
            <v>1</v>
          </cell>
          <cell r="D1164">
            <v>60</v>
          </cell>
          <cell r="E1164" t="str">
            <v>A</v>
          </cell>
          <cell r="F1164">
            <v>0.125</v>
          </cell>
        </row>
        <row r="1165">
          <cell r="A1165" t="str">
            <v>58.1.60.I</v>
          </cell>
          <cell r="B1165">
            <v>58</v>
          </cell>
          <cell r="C1165">
            <v>1</v>
          </cell>
          <cell r="D1165">
            <v>60</v>
          </cell>
          <cell r="E1165" t="str">
            <v>I</v>
          </cell>
          <cell r="F1165">
            <v>0.125</v>
          </cell>
        </row>
        <row r="1166">
          <cell r="A1166" t="str">
            <v>58.1.60.N</v>
          </cell>
          <cell r="B1166">
            <v>58</v>
          </cell>
          <cell r="C1166">
            <v>1</v>
          </cell>
          <cell r="D1166">
            <v>60</v>
          </cell>
          <cell r="E1166" t="str">
            <v>N</v>
          </cell>
          <cell r="F1166">
            <v>0.125</v>
          </cell>
        </row>
        <row r="1167">
          <cell r="A1167" t="str">
            <v>58.1.65.0</v>
          </cell>
          <cell r="B1167">
            <v>58</v>
          </cell>
          <cell r="C1167">
            <v>1</v>
          </cell>
          <cell r="D1167">
            <v>65</v>
          </cell>
          <cell r="E1167">
            <v>0</v>
          </cell>
          <cell r="F1167">
            <v>0.125</v>
          </cell>
        </row>
        <row r="1168">
          <cell r="A1168" t="str">
            <v>58.1.65.A</v>
          </cell>
          <cell r="B1168">
            <v>58</v>
          </cell>
          <cell r="C1168">
            <v>1</v>
          </cell>
          <cell r="D1168">
            <v>65</v>
          </cell>
          <cell r="E1168" t="str">
            <v>A</v>
          </cell>
          <cell r="F1168">
            <v>0.125</v>
          </cell>
        </row>
        <row r="1169">
          <cell r="A1169" t="str">
            <v>58.1.98.0</v>
          </cell>
          <cell r="B1169">
            <v>58</v>
          </cell>
          <cell r="C1169">
            <v>1</v>
          </cell>
          <cell r="D1169">
            <v>98</v>
          </cell>
          <cell r="E1169">
            <v>0</v>
          </cell>
          <cell r="F1169">
            <v>0</v>
          </cell>
        </row>
        <row r="1170">
          <cell r="A1170" t="str">
            <v>58.1.98.A</v>
          </cell>
          <cell r="B1170">
            <v>58</v>
          </cell>
          <cell r="C1170">
            <v>1</v>
          </cell>
          <cell r="D1170">
            <v>98</v>
          </cell>
          <cell r="E1170" t="str">
            <v>A</v>
          </cell>
          <cell r="F1170">
            <v>0</v>
          </cell>
        </row>
        <row r="1171">
          <cell r="A1171" t="str">
            <v>59.1.0.0</v>
          </cell>
          <cell r="B1171">
            <v>59</v>
          </cell>
          <cell r="C1171">
            <v>1</v>
          </cell>
          <cell r="D1171">
            <v>0</v>
          </cell>
          <cell r="E1171">
            <v>0</v>
          </cell>
          <cell r="F1171">
            <v>0.16669999999999999</v>
          </cell>
        </row>
        <row r="1172">
          <cell r="A1172" t="str">
            <v>59.1.0.A</v>
          </cell>
          <cell r="B1172">
            <v>59</v>
          </cell>
          <cell r="C1172">
            <v>1</v>
          </cell>
          <cell r="D1172">
            <v>0</v>
          </cell>
          <cell r="E1172" t="str">
            <v>A</v>
          </cell>
          <cell r="F1172">
            <v>0.16669999999999999</v>
          </cell>
        </row>
        <row r="1173">
          <cell r="A1173" t="str">
            <v>59.1.0.C</v>
          </cell>
          <cell r="B1173">
            <v>59</v>
          </cell>
          <cell r="C1173">
            <v>1</v>
          </cell>
          <cell r="D1173">
            <v>0</v>
          </cell>
          <cell r="E1173" t="str">
            <v>C</v>
          </cell>
          <cell r="F1173">
            <v>0.16669999999999999</v>
          </cell>
        </row>
        <row r="1174">
          <cell r="A1174" t="str">
            <v>59.1.0.N</v>
          </cell>
          <cell r="B1174">
            <v>59</v>
          </cell>
          <cell r="C1174">
            <v>1</v>
          </cell>
          <cell r="D1174">
            <v>0</v>
          </cell>
          <cell r="E1174" t="str">
            <v>N</v>
          </cell>
          <cell r="F1174">
            <v>0.16669999999999999</v>
          </cell>
        </row>
        <row r="1175">
          <cell r="A1175" t="str">
            <v>59.0B.0.N</v>
          </cell>
          <cell r="B1175">
            <v>59</v>
          </cell>
          <cell r="C1175" t="str">
            <v>0B</v>
          </cell>
          <cell r="D1175">
            <v>0</v>
          </cell>
          <cell r="E1175" t="str">
            <v>N</v>
          </cell>
          <cell r="F1175">
            <v>0.16669999999999999</v>
          </cell>
        </row>
        <row r="1176">
          <cell r="A1176" t="str">
            <v>59.0E.0.N</v>
          </cell>
          <cell r="B1176">
            <v>59</v>
          </cell>
          <cell r="C1176" t="str">
            <v>0E</v>
          </cell>
          <cell r="D1176">
            <v>0</v>
          </cell>
          <cell r="E1176" t="str">
            <v>N</v>
          </cell>
          <cell r="F1176">
            <v>0.16669999999999999</v>
          </cell>
        </row>
        <row r="1177">
          <cell r="A1177" t="str">
            <v>59.0M.0.N</v>
          </cell>
          <cell r="B1177">
            <v>59</v>
          </cell>
          <cell r="C1177" t="str">
            <v>0M</v>
          </cell>
          <cell r="D1177">
            <v>0</v>
          </cell>
          <cell r="E1177" t="str">
            <v>N</v>
          </cell>
          <cell r="F1177">
            <v>0.16669999999999999</v>
          </cell>
        </row>
        <row r="1178">
          <cell r="A1178" t="str">
            <v>59.72.0.N</v>
          </cell>
          <cell r="B1178">
            <v>59</v>
          </cell>
          <cell r="C1178">
            <v>72</v>
          </cell>
          <cell r="D1178">
            <v>0</v>
          </cell>
          <cell r="E1178" t="str">
            <v>N</v>
          </cell>
          <cell r="F1178">
            <v>0.16669999999999999</v>
          </cell>
        </row>
        <row r="1179">
          <cell r="A1179" t="str">
            <v>59.7P.0.N</v>
          </cell>
          <cell r="B1179">
            <v>59</v>
          </cell>
          <cell r="C1179" t="str">
            <v>7P</v>
          </cell>
          <cell r="D1179">
            <v>0</v>
          </cell>
          <cell r="E1179" t="str">
            <v>N</v>
          </cell>
          <cell r="F1179">
            <v>0.16669999999999999</v>
          </cell>
        </row>
        <row r="1180">
          <cell r="A1180" t="str">
            <v>59.1.1.N</v>
          </cell>
          <cell r="B1180">
            <v>59</v>
          </cell>
          <cell r="C1180">
            <v>1</v>
          </cell>
          <cell r="D1180">
            <v>1</v>
          </cell>
          <cell r="E1180" t="str">
            <v>N</v>
          </cell>
          <cell r="F1180">
            <v>0.16669999999999999</v>
          </cell>
        </row>
        <row r="1181">
          <cell r="A1181" t="str">
            <v>59.72.1.N</v>
          </cell>
          <cell r="B1181">
            <v>59</v>
          </cell>
          <cell r="C1181">
            <v>72</v>
          </cell>
          <cell r="D1181">
            <v>1</v>
          </cell>
          <cell r="E1181" t="str">
            <v>N</v>
          </cell>
          <cell r="F1181">
            <v>0.16669999999999999</v>
          </cell>
        </row>
        <row r="1182">
          <cell r="A1182" t="str">
            <v>59.1.5.A</v>
          </cell>
          <cell r="B1182">
            <v>59</v>
          </cell>
          <cell r="C1182">
            <v>1</v>
          </cell>
          <cell r="D1182">
            <v>5</v>
          </cell>
          <cell r="E1182" t="str">
            <v>A</v>
          </cell>
          <cell r="F1182">
            <v>0.16669999999999999</v>
          </cell>
        </row>
        <row r="1183">
          <cell r="A1183" t="str">
            <v>59.1.5.N</v>
          </cell>
          <cell r="B1183">
            <v>59</v>
          </cell>
          <cell r="C1183">
            <v>1</v>
          </cell>
          <cell r="D1183">
            <v>5</v>
          </cell>
          <cell r="E1183" t="str">
            <v>N</v>
          </cell>
          <cell r="F1183">
            <v>0.16669999999999999</v>
          </cell>
        </row>
        <row r="1184">
          <cell r="A1184" t="str">
            <v>59.72.5.N</v>
          </cell>
          <cell r="B1184">
            <v>59</v>
          </cell>
          <cell r="C1184">
            <v>72</v>
          </cell>
          <cell r="D1184">
            <v>5</v>
          </cell>
          <cell r="E1184" t="str">
            <v>N</v>
          </cell>
          <cell r="F1184">
            <v>0.16669999999999999</v>
          </cell>
        </row>
        <row r="1185">
          <cell r="A1185" t="str">
            <v>59.1.7.A</v>
          </cell>
          <cell r="B1185">
            <v>59</v>
          </cell>
          <cell r="C1185">
            <v>1</v>
          </cell>
          <cell r="D1185">
            <v>7</v>
          </cell>
          <cell r="E1185" t="str">
            <v>A</v>
          </cell>
          <cell r="F1185">
            <v>0.1111</v>
          </cell>
        </row>
        <row r="1186">
          <cell r="A1186" t="str">
            <v>59.1.7.N</v>
          </cell>
          <cell r="B1186">
            <v>59</v>
          </cell>
          <cell r="C1186">
            <v>1</v>
          </cell>
          <cell r="D1186">
            <v>7</v>
          </cell>
          <cell r="E1186" t="str">
            <v>N</v>
          </cell>
          <cell r="F1186">
            <v>0.1111</v>
          </cell>
        </row>
        <row r="1187">
          <cell r="A1187" t="str">
            <v>59.72.7.N</v>
          </cell>
          <cell r="B1187">
            <v>59</v>
          </cell>
          <cell r="C1187">
            <v>72</v>
          </cell>
          <cell r="D1187">
            <v>7</v>
          </cell>
          <cell r="E1187" t="str">
            <v>N</v>
          </cell>
          <cell r="F1187">
            <v>0.1111</v>
          </cell>
        </row>
        <row r="1188">
          <cell r="A1188" t="str">
            <v>59.1.10.A</v>
          </cell>
          <cell r="B1188">
            <v>59</v>
          </cell>
          <cell r="C1188">
            <v>1</v>
          </cell>
          <cell r="D1188">
            <v>10</v>
          </cell>
          <cell r="E1188" t="str">
            <v>A</v>
          </cell>
          <cell r="F1188">
            <v>0.16669999999999999</v>
          </cell>
        </row>
        <row r="1189">
          <cell r="A1189" t="str">
            <v>59.1.11.A</v>
          </cell>
          <cell r="B1189">
            <v>59</v>
          </cell>
          <cell r="C1189">
            <v>1</v>
          </cell>
          <cell r="D1189">
            <v>11</v>
          </cell>
          <cell r="E1189" t="str">
            <v>A</v>
          </cell>
          <cell r="F1189">
            <v>0.16669999999999999</v>
          </cell>
        </row>
        <row r="1190">
          <cell r="A1190" t="str">
            <v>59.1.11.N</v>
          </cell>
          <cell r="B1190">
            <v>59</v>
          </cell>
          <cell r="C1190">
            <v>1</v>
          </cell>
          <cell r="D1190">
            <v>11</v>
          </cell>
          <cell r="E1190" t="str">
            <v>N</v>
          </cell>
          <cell r="F1190">
            <v>0.16669999999999999</v>
          </cell>
        </row>
        <row r="1191">
          <cell r="A1191" t="str">
            <v>59.72.11.N</v>
          </cell>
          <cell r="B1191">
            <v>59</v>
          </cell>
          <cell r="C1191">
            <v>72</v>
          </cell>
          <cell r="D1191">
            <v>11</v>
          </cell>
          <cell r="E1191" t="str">
            <v>N</v>
          </cell>
          <cell r="F1191">
            <v>0.16669999999999999</v>
          </cell>
        </row>
        <row r="1192">
          <cell r="A1192" t="str">
            <v>59.1.12.A</v>
          </cell>
          <cell r="B1192">
            <v>59</v>
          </cell>
          <cell r="C1192">
            <v>1</v>
          </cell>
          <cell r="D1192">
            <v>12</v>
          </cell>
          <cell r="E1192" t="str">
            <v>A</v>
          </cell>
          <cell r="F1192">
            <v>0.16669999999999999</v>
          </cell>
        </row>
        <row r="1193">
          <cell r="A1193" t="str">
            <v>59.1.13.A</v>
          </cell>
          <cell r="B1193">
            <v>59</v>
          </cell>
          <cell r="C1193">
            <v>1</v>
          </cell>
          <cell r="D1193">
            <v>13</v>
          </cell>
          <cell r="E1193" t="str">
            <v>A</v>
          </cell>
          <cell r="F1193">
            <v>0.16669999999999999</v>
          </cell>
        </row>
        <row r="1194">
          <cell r="A1194" t="str">
            <v>59.1.14.A</v>
          </cell>
          <cell r="B1194">
            <v>59</v>
          </cell>
          <cell r="C1194">
            <v>1</v>
          </cell>
          <cell r="D1194">
            <v>14</v>
          </cell>
          <cell r="E1194" t="str">
            <v>A</v>
          </cell>
          <cell r="F1194">
            <v>0.16669999999999999</v>
          </cell>
        </row>
        <row r="1195">
          <cell r="A1195" t="str">
            <v>59.1.15.A</v>
          </cell>
          <cell r="B1195">
            <v>59</v>
          </cell>
          <cell r="C1195">
            <v>1</v>
          </cell>
          <cell r="D1195">
            <v>15</v>
          </cell>
          <cell r="E1195" t="str">
            <v>A</v>
          </cell>
          <cell r="F1195">
            <v>0.16669999999999999</v>
          </cell>
        </row>
        <row r="1196">
          <cell r="A1196" t="str">
            <v>59.1.16.A</v>
          </cell>
          <cell r="B1196">
            <v>59</v>
          </cell>
          <cell r="C1196">
            <v>1</v>
          </cell>
          <cell r="D1196">
            <v>16</v>
          </cell>
          <cell r="E1196" t="str">
            <v>A</v>
          </cell>
          <cell r="F1196">
            <v>0.16669999999999999</v>
          </cell>
        </row>
        <row r="1197">
          <cell r="A1197" t="str">
            <v>59.1.98.0</v>
          </cell>
          <cell r="B1197">
            <v>59</v>
          </cell>
          <cell r="C1197">
            <v>1</v>
          </cell>
          <cell r="D1197">
            <v>98</v>
          </cell>
          <cell r="E1197">
            <v>0</v>
          </cell>
          <cell r="F1197">
            <v>0</v>
          </cell>
        </row>
        <row r="1198">
          <cell r="A1198" t="str">
            <v>59.1.98.A</v>
          </cell>
          <cell r="B1198">
            <v>59</v>
          </cell>
          <cell r="C1198">
            <v>1</v>
          </cell>
          <cell r="D1198">
            <v>98</v>
          </cell>
          <cell r="E1198" t="str">
            <v>A</v>
          </cell>
          <cell r="F1198">
            <v>0</v>
          </cell>
        </row>
        <row r="1199">
          <cell r="A1199" t="str">
            <v>76.1.99.0</v>
          </cell>
          <cell r="B1199">
            <v>76</v>
          </cell>
          <cell r="C1199">
            <v>1</v>
          </cell>
          <cell r="D1199">
            <v>99</v>
          </cell>
          <cell r="E1199">
            <v>0</v>
          </cell>
          <cell r="F1199">
            <v>0</v>
          </cell>
        </row>
        <row r="1200">
          <cell r="A1200" t="str">
            <v>76.3.99.0</v>
          </cell>
          <cell r="B1200">
            <v>76</v>
          </cell>
          <cell r="C1200">
            <v>3</v>
          </cell>
          <cell r="D1200">
            <v>99</v>
          </cell>
          <cell r="E1200">
            <v>0</v>
          </cell>
          <cell r="F1200">
            <v>0</v>
          </cell>
        </row>
        <row r="1201">
          <cell r="A1201" t="str">
            <v>76.15.99.0</v>
          </cell>
          <cell r="B1201">
            <v>76</v>
          </cell>
          <cell r="C1201">
            <v>15</v>
          </cell>
          <cell r="D1201">
            <v>99</v>
          </cell>
          <cell r="E1201">
            <v>0</v>
          </cell>
          <cell r="F1201">
            <v>0</v>
          </cell>
        </row>
        <row r="1202">
          <cell r="A1202" t="str">
            <v>76.1.99.1</v>
          </cell>
          <cell r="B1202">
            <v>76</v>
          </cell>
          <cell r="C1202">
            <v>1</v>
          </cell>
          <cell r="D1202">
            <v>99</v>
          </cell>
          <cell r="E1202">
            <v>1</v>
          </cell>
          <cell r="F1202">
            <v>0</v>
          </cell>
        </row>
        <row r="1203">
          <cell r="A1203" t="str">
            <v>76.1.99.A</v>
          </cell>
          <cell r="B1203">
            <v>76</v>
          </cell>
          <cell r="C1203">
            <v>1</v>
          </cell>
          <cell r="D1203">
            <v>99</v>
          </cell>
          <cell r="E1203" t="str">
            <v>A</v>
          </cell>
          <cell r="F1203">
            <v>0</v>
          </cell>
        </row>
        <row r="1204">
          <cell r="A1204" t="str">
            <v>76.3.99.A</v>
          </cell>
          <cell r="B1204">
            <v>76</v>
          </cell>
          <cell r="C1204">
            <v>3</v>
          </cell>
          <cell r="D1204">
            <v>99</v>
          </cell>
          <cell r="E1204" t="str">
            <v>A</v>
          </cell>
          <cell r="F1204">
            <v>0</v>
          </cell>
        </row>
        <row r="1205">
          <cell r="A1205" t="str">
            <v>76.15.99.A</v>
          </cell>
          <cell r="B1205">
            <v>76</v>
          </cell>
          <cell r="C1205">
            <v>15</v>
          </cell>
          <cell r="D1205">
            <v>99</v>
          </cell>
          <cell r="E1205" t="str">
            <v>A</v>
          </cell>
          <cell r="F1205">
            <v>0</v>
          </cell>
        </row>
        <row r="1206">
          <cell r="A1206" t="str">
            <v>Lines below added after file set up</v>
          </cell>
        </row>
        <row r="1207">
          <cell r="A1207" t="str">
            <v>52.1.10.N</v>
          </cell>
          <cell r="B1207">
            <v>52</v>
          </cell>
          <cell r="C1207">
            <v>1</v>
          </cell>
          <cell r="D1207">
            <v>10</v>
          </cell>
          <cell r="E1207" t="str">
            <v>N</v>
          </cell>
          <cell r="F1207">
            <v>0.1</v>
          </cell>
        </row>
        <row r="1208">
          <cell r="A1208" t="str">
            <v>53.1.14.N</v>
          </cell>
          <cell r="B1208">
            <v>53</v>
          </cell>
          <cell r="C1208">
            <v>1</v>
          </cell>
          <cell r="D1208">
            <v>14</v>
          </cell>
          <cell r="E1208" t="str">
            <v>N</v>
          </cell>
          <cell r="F1208">
            <v>7.1400000000000005E-2</v>
          </cell>
        </row>
        <row r="1209">
          <cell r="A1209" t="str">
            <v>57.1.23.N</v>
          </cell>
          <cell r="B1209">
            <v>57</v>
          </cell>
          <cell r="C1209">
            <v>1</v>
          </cell>
          <cell r="D1209">
            <v>23</v>
          </cell>
          <cell r="E1209" t="str">
            <v>N</v>
          </cell>
          <cell r="F1209">
            <v>4.3499999999999997E-2</v>
          </cell>
        </row>
        <row r="1210">
          <cell r="A1210" t="str">
            <v>59.27.0.N</v>
          </cell>
          <cell r="B1210">
            <v>59</v>
          </cell>
          <cell r="C1210">
            <v>27</v>
          </cell>
          <cell r="D1210">
            <v>0</v>
          </cell>
          <cell r="E1210" t="str">
            <v>N</v>
          </cell>
          <cell r="F1210">
            <v>0.16669999999999999</v>
          </cell>
        </row>
        <row r="1211">
          <cell r="A1211" t="str">
            <v>3.1.10.U</v>
          </cell>
          <cell r="B1211">
            <v>3</v>
          </cell>
          <cell r="C1211">
            <v>1</v>
          </cell>
          <cell r="D1211">
            <v>10</v>
          </cell>
          <cell r="E1211" t="e">
            <v>#N/A</v>
          </cell>
          <cell r="F1211">
            <v>1.0500000000000001E-2</v>
          </cell>
        </row>
        <row r="1212">
          <cell r="A1212" t="str">
            <v>3.1.20.U</v>
          </cell>
          <cell r="B1212">
            <v>3</v>
          </cell>
          <cell r="C1212">
            <v>1</v>
          </cell>
          <cell r="D1212">
            <v>20</v>
          </cell>
          <cell r="E1212" t="e">
            <v>#N/A</v>
          </cell>
          <cell r="F1212">
            <v>1.0500000000000001E-2</v>
          </cell>
        </row>
        <row r="1213">
          <cell r="A1213" t="str">
            <v>4.1.10.U</v>
          </cell>
          <cell r="B1213">
            <v>4</v>
          </cell>
          <cell r="C1213">
            <v>1</v>
          </cell>
          <cell r="D1213">
            <v>10</v>
          </cell>
          <cell r="E1213" t="e">
            <v>#N/A</v>
          </cell>
          <cell r="F1213">
            <v>0.02</v>
          </cell>
        </row>
        <row r="1214">
          <cell r="A1214" t="str">
            <v>5.1.10.U</v>
          </cell>
          <cell r="B1214">
            <v>5</v>
          </cell>
          <cell r="C1214">
            <v>1</v>
          </cell>
          <cell r="D1214">
            <v>10</v>
          </cell>
          <cell r="E1214" t="e">
            <v>#N/A</v>
          </cell>
          <cell r="F1214">
            <v>1.0500000000000001E-2</v>
          </cell>
        </row>
        <row r="1215">
          <cell r="A1215" t="str">
            <v>6.1.0.U</v>
          </cell>
          <cell r="B1215">
            <v>6</v>
          </cell>
          <cell r="C1215">
            <v>1</v>
          </cell>
          <cell r="D1215">
            <v>0</v>
          </cell>
          <cell r="E1215" t="e">
            <v>#N/A</v>
          </cell>
          <cell r="F1215">
            <v>1.2500000000000001E-2</v>
          </cell>
        </row>
        <row r="1216">
          <cell r="A1216" t="str">
            <v>8.1.10.U</v>
          </cell>
          <cell r="B1216">
            <v>8</v>
          </cell>
          <cell r="C1216">
            <v>1</v>
          </cell>
          <cell r="D1216">
            <v>10</v>
          </cell>
          <cell r="E1216" t="e">
            <v>#N/A</v>
          </cell>
          <cell r="F1216">
            <v>5.4899999999999997E-2</v>
          </cell>
        </row>
        <row r="1217">
          <cell r="A1217" t="str">
            <v>8.1.11.U</v>
          </cell>
          <cell r="B1217">
            <v>8</v>
          </cell>
          <cell r="C1217">
            <v>1</v>
          </cell>
          <cell r="D1217">
            <v>11</v>
          </cell>
          <cell r="E1217" t="e">
            <v>#N/A</v>
          </cell>
          <cell r="F1217">
            <v>3.7699999999999997E-2</v>
          </cell>
        </row>
        <row r="1218">
          <cell r="A1218" t="str">
            <v>8.1.20.U</v>
          </cell>
          <cell r="B1218">
            <v>8</v>
          </cell>
          <cell r="C1218">
            <v>1</v>
          </cell>
          <cell r="D1218">
            <v>20</v>
          </cell>
          <cell r="E1218" t="e">
            <v>#N/A</v>
          </cell>
          <cell r="F1218">
            <v>4.4699999999999997E-2</v>
          </cell>
        </row>
        <row r="1219">
          <cell r="A1219" t="str">
            <v>8.1.52.T</v>
          </cell>
          <cell r="B1219">
            <v>8</v>
          </cell>
          <cell r="C1219">
            <v>1</v>
          </cell>
          <cell r="D1219">
            <v>52</v>
          </cell>
          <cell r="E1219" t="str">
            <v>T</v>
          </cell>
          <cell r="F1219">
            <v>6.3500000000000001E-2</v>
          </cell>
        </row>
        <row r="1220">
          <cell r="A1220" t="str">
            <v>9.1.10.U</v>
          </cell>
          <cell r="B1220">
            <v>9</v>
          </cell>
          <cell r="C1220">
            <v>1</v>
          </cell>
          <cell r="D1220">
            <v>10</v>
          </cell>
          <cell r="E1220" t="e">
            <v>#N/A</v>
          </cell>
          <cell r="F1220">
            <v>3.3000000000000002E-2</v>
          </cell>
        </row>
        <row r="1221">
          <cell r="A1221" t="str">
            <v>9.1.20.U</v>
          </cell>
          <cell r="B1221">
            <v>9</v>
          </cell>
          <cell r="C1221">
            <v>1</v>
          </cell>
          <cell r="D1221">
            <v>20</v>
          </cell>
          <cell r="E1221" t="e">
            <v>#N/A</v>
          </cell>
          <cell r="F1221">
            <v>2.6700000000000002E-2</v>
          </cell>
        </row>
        <row r="1222">
          <cell r="A1222" t="str">
            <v>11.1.10.U</v>
          </cell>
          <cell r="B1222">
            <v>11</v>
          </cell>
          <cell r="C1222">
            <v>1</v>
          </cell>
          <cell r="D1222">
            <v>10</v>
          </cell>
          <cell r="E1222" t="e">
            <v>#N/A</v>
          </cell>
          <cell r="F1222">
            <v>0.04</v>
          </cell>
        </row>
        <row r="1223">
          <cell r="A1223" t="str">
            <v>11.1.20.U</v>
          </cell>
          <cell r="B1223">
            <v>11</v>
          </cell>
          <cell r="C1223">
            <v>1</v>
          </cell>
          <cell r="D1223">
            <v>20</v>
          </cell>
          <cell r="E1223" t="e">
            <v>#N/A</v>
          </cell>
          <cell r="F1223">
            <v>3.5700000000000003E-2</v>
          </cell>
        </row>
        <row r="1224">
          <cell r="A1224" t="str">
            <v>13.1.0.U</v>
          </cell>
          <cell r="B1224">
            <v>13</v>
          </cell>
          <cell r="C1224">
            <v>1</v>
          </cell>
          <cell r="D1224">
            <v>0</v>
          </cell>
          <cell r="E1224" t="e">
            <v>#N/A</v>
          </cell>
          <cell r="F1224">
            <v>1.3299999999999999E-2</v>
          </cell>
        </row>
        <row r="1225">
          <cell r="A1225" t="str">
            <v>16.1.1X.U</v>
          </cell>
          <cell r="B1225">
            <v>16</v>
          </cell>
          <cell r="C1225">
            <v>1</v>
          </cell>
          <cell r="D1225" t="str">
            <v>1X</v>
          </cell>
          <cell r="E1225" t="e">
            <v>#N/A</v>
          </cell>
          <cell r="F1225">
            <v>2.63E-2</v>
          </cell>
        </row>
        <row r="1226">
          <cell r="A1226" t="str">
            <v>16.1.5X.T</v>
          </cell>
          <cell r="B1226">
            <v>16</v>
          </cell>
          <cell r="C1226">
            <v>1</v>
          </cell>
          <cell r="D1226" t="str">
            <v>5X</v>
          </cell>
          <cell r="E1226" t="str">
            <v>T</v>
          </cell>
          <cell r="F1226">
            <v>6.3500000000000001E-2</v>
          </cell>
        </row>
        <row r="1227">
          <cell r="A1227" t="str">
            <v>17.1.1X.U</v>
          </cell>
          <cell r="B1227">
            <v>17</v>
          </cell>
          <cell r="C1227">
            <v>1</v>
          </cell>
          <cell r="D1227" t="str">
            <v>1X</v>
          </cell>
          <cell r="E1227" t="e">
            <v>#N/A</v>
          </cell>
          <cell r="F1227">
            <v>3.6999999999999998E-2</v>
          </cell>
        </row>
        <row r="1228">
          <cell r="A1228" t="str">
            <v>17.1.5X.T</v>
          </cell>
          <cell r="B1228">
            <v>17</v>
          </cell>
          <cell r="C1228">
            <v>1</v>
          </cell>
          <cell r="D1228" t="str">
            <v>5X</v>
          </cell>
          <cell r="E1228" t="str">
            <v>T</v>
          </cell>
          <cell r="F1228">
            <v>6.6400000000000001E-2</v>
          </cell>
        </row>
        <row r="1229">
          <cell r="A1229" t="str">
            <v>18.1.0.U</v>
          </cell>
          <cell r="B1229">
            <v>18</v>
          </cell>
          <cell r="C1229">
            <v>1</v>
          </cell>
          <cell r="D1229">
            <v>0</v>
          </cell>
          <cell r="E1229" t="e">
            <v>#N/A</v>
          </cell>
          <cell r="F1229">
            <v>2.5000000000000001E-2</v>
          </cell>
        </row>
        <row r="1230">
          <cell r="A1230" t="str">
            <v>19.1.0.U</v>
          </cell>
          <cell r="B1230">
            <v>19</v>
          </cell>
          <cell r="C1230">
            <v>1</v>
          </cell>
          <cell r="D1230">
            <v>0</v>
          </cell>
          <cell r="E1230" t="e">
            <v>#N/A</v>
          </cell>
          <cell r="F1230">
            <v>3.3300000000000003E-2</v>
          </cell>
        </row>
        <row r="1231">
          <cell r="A1231" t="str">
            <v>19.1.52.T</v>
          </cell>
          <cell r="B1231">
            <v>19</v>
          </cell>
          <cell r="C1231">
            <v>1</v>
          </cell>
          <cell r="D1231">
            <v>52</v>
          </cell>
          <cell r="E1231" t="str">
            <v>T</v>
          </cell>
          <cell r="F1231">
            <v>6.9000000000000006E-2</v>
          </cell>
        </row>
        <row r="1232">
          <cell r="A1232" t="str">
            <v>20.1.1X.U</v>
          </cell>
          <cell r="B1232">
            <v>20</v>
          </cell>
          <cell r="C1232">
            <v>1</v>
          </cell>
          <cell r="D1232" t="str">
            <v>1X</v>
          </cell>
          <cell r="E1232" t="e">
            <v>#N/A</v>
          </cell>
          <cell r="F1232">
            <v>2.0400000000000001E-2</v>
          </cell>
        </row>
        <row r="1233">
          <cell r="A1233" t="str">
            <v>25.1.1X.U</v>
          </cell>
          <cell r="B1233">
            <v>25</v>
          </cell>
          <cell r="C1233">
            <v>1</v>
          </cell>
          <cell r="D1233" t="str">
            <v>1X</v>
          </cell>
          <cell r="E1233" t="e">
            <v>#N/A</v>
          </cell>
          <cell r="F1233">
            <v>2.86E-2</v>
          </cell>
        </row>
        <row r="1234">
          <cell r="A1234" t="str">
            <v>26.1.1X.U</v>
          </cell>
          <cell r="B1234">
            <v>26</v>
          </cell>
          <cell r="C1234">
            <v>1</v>
          </cell>
          <cell r="D1234" t="str">
            <v>1X</v>
          </cell>
          <cell r="E1234" t="e">
            <v>#N/A</v>
          </cell>
          <cell r="F1234">
            <v>4.3499999999999997E-2</v>
          </cell>
        </row>
        <row r="1235">
          <cell r="A1235" t="str">
            <v>26.1.3X.U</v>
          </cell>
          <cell r="B1235">
            <v>26</v>
          </cell>
          <cell r="C1235">
            <v>1</v>
          </cell>
          <cell r="D1235" t="str">
            <v>3X</v>
          </cell>
          <cell r="E1235" t="e">
            <v>#N/A</v>
          </cell>
          <cell r="F1235">
            <v>7.6899999999999996E-2</v>
          </cell>
        </row>
        <row r="1236">
          <cell r="A1236" t="str">
            <v>27.1.1X.U</v>
          </cell>
          <cell r="B1236">
            <v>27</v>
          </cell>
          <cell r="C1236">
            <v>1</v>
          </cell>
          <cell r="D1236" t="str">
            <v>1X</v>
          </cell>
          <cell r="E1236" t="e">
            <v>#N/A</v>
          </cell>
          <cell r="F1236">
            <v>2.9399999999999999E-2</v>
          </cell>
        </row>
        <row r="1237">
          <cell r="A1237" t="str">
            <v>29.1.52.T</v>
          </cell>
          <cell r="B1237">
            <v>29</v>
          </cell>
          <cell r="C1237">
            <v>1</v>
          </cell>
          <cell r="D1237">
            <v>52</v>
          </cell>
          <cell r="E1237" t="str">
            <v>T</v>
          </cell>
          <cell r="F1237">
            <v>6.6799999999999998E-2</v>
          </cell>
        </row>
        <row r="1238">
          <cell r="A1238" t="str">
            <v>31.1.0.U</v>
          </cell>
          <cell r="B1238">
            <v>31</v>
          </cell>
          <cell r="C1238">
            <v>1</v>
          </cell>
          <cell r="D1238">
            <v>0</v>
          </cell>
          <cell r="E1238" t="e">
            <v>#N/A</v>
          </cell>
          <cell r="F1238">
            <v>2.3300000000000001E-2</v>
          </cell>
        </row>
        <row r="1239">
          <cell r="A1239" t="str">
            <v>35.1.0.U</v>
          </cell>
          <cell r="B1239">
            <v>35</v>
          </cell>
          <cell r="C1239">
            <v>1</v>
          </cell>
          <cell r="D1239">
            <v>0</v>
          </cell>
          <cell r="E1239" t="e">
            <v>#N/A</v>
          </cell>
          <cell r="F1239">
            <v>2.86E-2</v>
          </cell>
        </row>
        <row r="1240">
          <cell r="A1240" t="str">
            <v>37.1.0.U</v>
          </cell>
          <cell r="B1240">
            <v>37</v>
          </cell>
          <cell r="C1240">
            <v>1</v>
          </cell>
          <cell r="D1240">
            <v>0</v>
          </cell>
          <cell r="E1240" t="e">
            <v>#N/A</v>
          </cell>
          <cell r="F1240">
            <v>6.25E-2</v>
          </cell>
        </row>
        <row r="1241">
          <cell r="A1241" t="str">
            <v>39.1.10.U</v>
          </cell>
          <cell r="B1241">
            <v>39</v>
          </cell>
          <cell r="C1241">
            <v>1</v>
          </cell>
          <cell r="D1241">
            <v>10</v>
          </cell>
          <cell r="E1241" t="e">
            <v>#N/A</v>
          </cell>
          <cell r="F1241">
            <v>1.9599999999999999E-2</v>
          </cell>
        </row>
        <row r="1242">
          <cell r="A1242" t="str">
            <v>39.1.20.U</v>
          </cell>
          <cell r="B1242">
            <v>39</v>
          </cell>
          <cell r="C1242">
            <v>1</v>
          </cell>
          <cell r="D1242">
            <v>20</v>
          </cell>
          <cell r="E1242" t="e">
            <v>#N/A</v>
          </cell>
          <cell r="F1242">
            <v>1.9599999999999999E-2</v>
          </cell>
        </row>
        <row r="1243">
          <cell r="A1243" t="str">
            <v>52.1.40.N</v>
          </cell>
          <cell r="B1243">
            <v>52</v>
          </cell>
          <cell r="C1243">
            <v>1</v>
          </cell>
          <cell r="D1243">
            <v>40</v>
          </cell>
          <cell r="E1243" t="str">
            <v>N</v>
          </cell>
          <cell r="F1243">
            <v>0.2</v>
          </cell>
        </row>
        <row r="1244">
          <cell r="A1244" t="str">
            <v>57.1.52.T</v>
          </cell>
          <cell r="B1244">
            <v>57</v>
          </cell>
          <cell r="C1244">
            <v>1</v>
          </cell>
          <cell r="D1244">
            <v>52</v>
          </cell>
          <cell r="E1244" t="str">
            <v>T</v>
          </cell>
          <cell r="F1244">
            <v>0.12909999999999999</v>
          </cell>
        </row>
        <row r="1245">
          <cell r="A1245" t="str">
            <v>59.1.5.U</v>
          </cell>
          <cell r="B1245">
            <v>59</v>
          </cell>
          <cell r="C1245">
            <v>1</v>
          </cell>
          <cell r="D1245">
            <v>5</v>
          </cell>
          <cell r="E1245" t="e">
            <v>#N/A</v>
          </cell>
          <cell r="F1245">
            <v>0.16669999999999999</v>
          </cell>
        </row>
        <row r="1246">
          <cell r="A1246" t="str">
            <v>25.1.2X.Q</v>
          </cell>
          <cell r="B1246">
            <v>25</v>
          </cell>
          <cell r="C1246">
            <v>1</v>
          </cell>
          <cell r="D1246" t="str">
            <v>2X</v>
          </cell>
          <cell r="E1246" t="str">
            <v>Q</v>
          </cell>
          <cell r="F1246">
            <v>4.5499999999999999E-2</v>
          </cell>
        </row>
        <row r="1247">
          <cell r="A1247" t="str">
            <v>37.1.0.Q</v>
          </cell>
          <cell r="B1247">
            <v>37</v>
          </cell>
          <cell r="C1247">
            <v>1</v>
          </cell>
          <cell r="D1247">
            <v>0</v>
          </cell>
          <cell r="E1247" t="str">
            <v>Q</v>
          </cell>
          <cell r="F1247">
            <v>6.25E-2</v>
          </cell>
        </row>
        <row r="1248">
          <cell r="A1248" t="str">
            <v>57.7P.50.N</v>
          </cell>
          <cell r="B1248">
            <v>57</v>
          </cell>
          <cell r="C1248" t="str">
            <v>7P</v>
          </cell>
          <cell r="D1248">
            <v>50</v>
          </cell>
          <cell r="E1248" t="str">
            <v>N</v>
          </cell>
          <cell r="F1248">
            <v>2.5100000000000001E-2</v>
          </cell>
        </row>
        <row r="1249">
          <cell r="A1249" t="str">
            <v>...</v>
          </cell>
        </row>
        <row r="1250">
          <cell r="A1250" t="str">
            <v>...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"/>
      <sheetName val="51"/>
      <sheetName val="Detour Volume Development"/>
      <sheetName val="2020"/>
      <sheetName val="2045"/>
    </sheetNames>
    <sheetDataSet>
      <sheetData sheetId="0">
        <row r="30">
          <cell r="DH30"/>
        </row>
        <row r="35">
          <cell r="DC35">
            <v>52.5</v>
          </cell>
          <cell r="DO35">
            <v>8</v>
          </cell>
        </row>
      </sheetData>
      <sheetData sheetId="1">
        <row r="30">
          <cell r="DH30"/>
        </row>
        <row r="35">
          <cell r="DC35">
            <v>60.000000000000007</v>
          </cell>
          <cell r="DO35">
            <v>8.5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08"/>
      <sheetName val="February 08"/>
      <sheetName val="March 08"/>
      <sheetName val="April 08"/>
      <sheetName val="May 08"/>
      <sheetName val="June 08"/>
      <sheetName val="July 08"/>
      <sheetName val="August 08"/>
      <sheetName val="September 08"/>
      <sheetName val="October 08"/>
      <sheetName val="November 08"/>
      <sheetName val="YTD08"/>
      <sheetName val="December 08"/>
      <sheetName val="Journal Entry"/>
      <sheetName val="Non-Cash Ent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08"/>
      <sheetName val="February 08"/>
      <sheetName val="March 08"/>
      <sheetName val="April 08"/>
      <sheetName val="May 08"/>
      <sheetName val="June 08"/>
      <sheetName val="July 08"/>
      <sheetName val="August 08"/>
      <sheetName val="September 08"/>
      <sheetName val="October 08"/>
      <sheetName val="November 08"/>
      <sheetName val="YTD08"/>
      <sheetName val="December 08"/>
      <sheetName val="Journal Entry"/>
      <sheetName val="Non-Cash Ent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Overview &amp; Paramters"/>
      <sheetName val="Spreadsheet Overview"/>
      <sheetName val="Data Dictionary"/>
      <sheetName val="Assumptions"/>
      <sheetName val="Improvement Types"/>
      <sheetName val="Data"/>
      <sheetName val="Crossing Improvements"/>
      <sheetName val="Model"/>
      <sheetName val="Crossing Model Summary"/>
      <sheetName val="County Level Summary"/>
      <sheetName val="Summary"/>
      <sheetName val="Summary wo Surfacing"/>
      <sheetName val="EF Calcs"/>
      <sheetName val="Accident Calcs"/>
      <sheetName val="Delay &amp; Time-in-Queue"/>
      <sheetName val="VOC &amp; Emissions Savings"/>
      <sheetName val="CPI Raw Data"/>
      <sheetName val="PPI Raw Data"/>
      <sheetName val="hpms_2007"/>
      <sheetName val="ACCIDENT DATA 2000"/>
      <sheetName val="ACCIDENT DATA 2001"/>
      <sheetName val="ACCIDENT DATA 2002"/>
      <sheetName val="ACCIDENT DATA 2003"/>
      <sheetName val="ACCIDENT DATA 2004"/>
      <sheetName val="ACCIDENT DATA 2005"/>
      <sheetName val="ACCIDENT DATA 2006"/>
      <sheetName val="ACCIDENT DATA 2007"/>
      <sheetName val="ACCIDENT DATA 2008"/>
    </sheetNames>
    <sheetDataSet>
      <sheetData sheetId="0" refreshError="1"/>
      <sheetData sheetId="1" refreshError="1"/>
      <sheetData sheetId="2" refreshError="1"/>
      <sheetData sheetId="3">
        <row r="3">
          <cell r="C3">
            <v>2.5000000000000001E-3</v>
          </cell>
        </row>
        <row r="5">
          <cell r="C5">
            <v>7.0000000000000007E-2</v>
          </cell>
        </row>
        <row r="6">
          <cell r="C6">
            <v>1.6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Overview &amp; Paramters"/>
      <sheetName val="Spreadsheet Overview"/>
      <sheetName val="Data Dictionary"/>
      <sheetName val="Assumptions"/>
      <sheetName val="Improvement Types"/>
      <sheetName val="Data"/>
      <sheetName val="Crossing Improvements"/>
      <sheetName val="Model"/>
      <sheetName val="Crossing Model Summary"/>
      <sheetName val="County Level Summary"/>
      <sheetName val="Summary"/>
      <sheetName val="Summary wo Surfacing"/>
      <sheetName val="EF Calcs"/>
      <sheetName val="Accident Calcs"/>
      <sheetName val="Delay &amp; Time-in-Queue"/>
      <sheetName val="VOC &amp; Emissions Savings"/>
      <sheetName val="CPI Raw Data"/>
      <sheetName val="PPI Raw Data"/>
      <sheetName val="hpms_2007"/>
      <sheetName val="ACCIDENT DATA 2000"/>
      <sheetName val="ACCIDENT DATA 2001"/>
      <sheetName val="ACCIDENT DATA 2002"/>
      <sheetName val="ACCIDENT DATA 2003"/>
      <sheetName val="ACCIDENT DATA 2004"/>
      <sheetName val="ACCIDENT DATA 2005"/>
      <sheetName val="ACCIDENT DATA 2006"/>
      <sheetName val="ACCIDENT DATA 2007"/>
      <sheetName val="ACCIDENT DATA 2008"/>
    </sheetNames>
    <sheetDataSet>
      <sheetData sheetId="0" refreshError="1"/>
      <sheetData sheetId="1" refreshError="1"/>
      <sheetData sheetId="2" refreshError="1"/>
      <sheetData sheetId="3">
        <row r="3">
          <cell r="C3">
            <v>2.5000000000000001E-3</v>
          </cell>
        </row>
        <row r="5">
          <cell r="C5">
            <v>7.0000000000000007E-2</v>
          </cell>
        </row>
        <row r="6">
          <cell r="C6">
            <v>1.6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atrix"/>
      <sheetName val="CapitalCosts"/>
      <sheetName val="O&amp;MCosts"/>
      <sheetName val="Inputs"/>
      <sheetName val="Reduced VMT"/>
      <sheetName val="TravelTimeSavings"/>
      <sheetName val="Residual"/>
      <sheetName val="CongestionSavings"/>
      <sheetName val="FreightBenefits"/>
      <sheetName val="RoadwayMaintenanceSavings"/>
      <sheetName val="TravelCostSavings"/>
      <sheetName val="Safety"/>
      <sheetName val="ReducedEmissions"/>
      <sheetName val="Deflator"/>
      <sheetName val="NetworkTimeSavings"/>
      <sheetName val="HiawathaRidership"/>
      <sheetName val="Delay Codes"/>
      <sheetName val="EmpireBuilderRidership"/>
      <sheetName val="Emissions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CBS"/>
      <sheetName val="Signature-not used"/>
      <sheetName val="Q4 09 BS Leads"/>
      <sheetName val="Current"/>
      <sheetName val="PPE-Other Current 10-Q Recon"/>
      <sheetName val="Current 10-K Recon"/>
      <sheetName val="12.31.08"/>
      <sheetName val="12.31.08 10-K Recon"/>
      <sheetName val="12.31.08 PPE 10-K Recon"/>
      <sheetName val="Q3 09 Rail BS Leads"/>
      <sheetName val="Q2 09 Rail BS Leads"/>
      <sheetName val="PriorQ4"/>
      <sheetName val="PriorQ3"/>
      <sheetName val="Prior Q2"/>
      <sheetName val="PriorQ1"/>
      <sheetName val="PPE-Other Q3-09 10-Q Recon"/>
      <sheetName val="PPE-Other Q2-09 10-Q Recon"/>
      <sheetName val="PPE-Other Sep08 10-Q Recon"/>
      <sheetName val="Prior 10-Q Recon"/>
      <sheetName val="R-1 220"/>
      <sheetName val="R-1 220 revised 021710"/>
      <sheetName val="R-1 220 revised 022610"/>
      <sheetName val="220 Support"/>
      <sheetName val="R-1 230"/>
      <sheetName val="R-1 460"/>
      <sheetName val="Variance Analysis Q409 vs Q408"/>
      <sheetName val="Variance Analysis-old"/>
      <sheetName val="Q3.09 vs Q3.08 &amp; Q4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Inputs"/>
      <sheetName val="Maintenance Calculations"/>
      <sheetName val="Roadway Maintenance (M)"/>
      <sheetName val="Renewal &amp; Replacement (R&amp;R)"/>
      <sheetName val="Summary "/>
      <sheetName val="bridge"/>
      <sheetName val="Ramp"/>
    </sheetNames>
    <sheetDataSet>
      <sheetData sheetId="0" refreshError="1"/>
      <sheetData sheetId="1">
        <row r="5">
          <cell r="C5">
            <v>2019</v>
          </cell>
        </row>
        <row r="6">
          <cell r="C6">
            <v>2020</v>
          </cell>
        </row>
        <row r="32">
          <cell r="B32">
            <v>2018</v>
          </cell>
          <cell r="C32">
            <v>0</v>
          </cell>
        </row>
        <row r="33">
          <cell r="B33">
            <v>2019</v>
          </cell>
          <cell r="C33">
            <v>0</v>
          </cell>
        </row>
        <row r="34">
          <cell r="B34">
            <v>2020</v>
          </cell>
          <cell r="C34">
            <v>0</v>
          </cell>
        </row>
        <row r="35">
          <cell r="B35">
            <v>2021</v>
          </cell>
          <cell r="C35">
            <v>0</v>
          </cell>
        </row>
        <row r="36">
          <cell r="B36">
            <v>2022</v>
          </cell>
          <cell r="C36">
            <v>0</v>
          </cell>
        </row>
        <row r="37">
          <cell r="B37">
            <v>2023</v>
          </cell>
          <cell r="C37">
            <v>0</v>
          </cell>
        </row>
        <row r="38">
          <cell r="B38">
            <v>2024</v>
          </cell>
          <cell r="C38">
            <v>0</v>
          </cell>
        </row>
        <row r="39">
          <cell r="B39">
            <v>2025</v>
          </cell>
          <cell r="C39">
            <v>0</v>
          </cell>
        </row>
        <row r="40">
          <cell r="B40">
            <v>2026</v>
          </cell>
          <cell r="C40">
            <v>0</v>
          </cell>
        </row>
        <row r="41">
          <cell r="B41">
            <v>2027</v>
          </cell>
          <cell r="C41">
            <v>0</v>
          </cell>
        </row>
        <row r="42">
          <cell r="B42">
            <v>2028</v>
          </cell>
          <cell r="C42">
            <v>0</v>
          </cell>
        </row>
        <row r="43">
          <cell r="B43">
            <v>2029</v>
          </cell>
          <cell r="C43">
            <v>0</v>
          </cell>
        </row>
        <row r="44">
          <cell r="B44">
            <v>2030</v>
          </cell>
          <cell r="C44">
            <v>0</v>
          </cell>
        </row>
        <row r="45">
          <cell r="B45">
            <v>2031</v>
          </cell>
          <cell r="C45">
            <v>0</v>
          </cell>
        </row>
        <row r="46">
          <cell r="B46">
            <v>2032</v>
          </cell>
          <cell r="C46">
            <v>0</v>
          </cell>
        </row>
        <row r="47">
          <cell r="B47">
            <v>2033</v>
          </cell>
          <cell r="C47">
            <v>0</v>
          </cell>
        </row>
        <row r="48">
          <cell r="B48">
            <v>2034</v>
          </cell>
          <cell r="C48">
            <v>0</v>
          </cell>
        </row>
        <row r="49">
          <cell r="B49">
            <v>2035</v>
          </cell>
          <cell r="C49">
            <v>0</v>
          </cell>
        </row>
        <row r="50">
          <cell r="B50">
            <v>2036</v>
          </cell>
          <cell r="C50">
            <v>0</v>
          </cell>
        </row>
        <row r="51">
          <cell r="B51">
            <v>2037</v>
          </cell>
          <cell r="C51">
            <v>0</v>
          </cell>
        </row>
        <row r="52">
          <cell r="B52">
            <v>2038</v>
          </cell>
          <cell r="C52">
            <v>0</v>
          </cell>
        </row>
        <row r="53">
          <cell r="B53">
            <v>2039</v>
          </cell>
          <cell r="C53">
            <v>0</v>
          </cell>
        </row>
        <row r="54">
          <cell r="B54">
            <v>2040</v>
          </cell>
          <cell r="C54">
            <v>0</v>
          </cell>
        </row>
        <row r="55">
          <cell r="B55">
            <v>2041</v>
          </cell>
          <cell r="C55">
            <v>0</v>
          </cell>
        </row>
        <row r="56">
          <cell r="B56">
            <v>2042</v>
          </cell>
          <cell r="C56">
            <v>0</v>
          </cell>
        </row>
        <row r="57">
          <cell r="B57">
            <v>2043</v>
          </cell>
          <cell r="C57">
            <v>0</v>
          </cell>
        </row>
        <row r="58">
          <cell r="B58">
            <v>2044</v>
          </cell>
          <cell r="C58">
            <v>0</v>
          </cell>
        </row>
        <row r="59">
          <cell r="B59">
            <v>2045</v>
          </cell>
          <cell r="C59">
            <v>0</v>
          </cell>
        </row>
        <row r="60">
          <cell r="B60">
            <v>2046</v>
          </cell>
          <cell r="C60">
            <v>0</v>
          </cell>
        </row>
        <row r="61">
          <cell r="B61">
            <v>2047</v>
          </cell>
          <cell r="C61">
            <v>0</v>
          </cell>
        </row>
        <row r="62">
          <cell r="B62">
            <v>2048</v>
          </cell>
          <cell r="C62">
            <v>0</v>
          </cell>
        </row>
        <row r="63">
          <cell r="B63">
            <v>2049</v>
          </cell>
          <cell r="C63">
            <v>0</v>
          </cell>
        </row>
        <row r="64">
          <cell r="B64">
            <v>2050</v>
          </cell>
          <cell r="C64">
            <v>0</v>
          </cell>
        </row>
        <row r="65">
          <cell r="B65">
            <v>2051</v>
          </cell>
          <cell r="C65">
            <v>0</v>
          </cell>
        </row>
        <row r="66">
          <cell r="B66">
            <v>2052</v>
          </cell>
          <cell r="C66">
            <v>0</v>
          </cell>
        </row>
        <row r="67">
          <cell r="B67">
            <v>2053</v>
          </cell>
          <cell r="C67">
            <v>0</v>
          </cell>
        </row>
        <row r="68">
          <cell r="B68">
            <v>2054</v>
          </cell>
          <cell r="C68">
            <v>0</v>
          </cell>
        </row>
        <row r="69">
          <cell r="B69">
            <v>2055</v>
          </cell>
          <cell r="C69">
            <v>0</v>
          </cell>
        </row>
        <row r="70">
          <cell r="B70">
            <v>2056</v>
          </cell>
          <cell r="C70">
            <v>0</v>
          </cell>
        </row>
        <row r="71">
          <cell r="B71">
            <v>2057</v>
          </cell>
          <cell r="C71">
            <v>0</v>
          </cell>
        </row>
        <row r="72">
          <cell r="B72">
            <v>2058</v>
          </cell>
          <cell r="C72">
            <v>0</v>
          </cell>
        </row>
        <row r="73">
          <cell r="B73">
            <v>2059</v>
          </cell>
          <cell r="C73">
            <v>0</v>
          </cell>
        </row>
        <row r="74">
          <cell r="B74">
            <v>2060</v>
          </cell>
          <cell r="C74">
            <v>0</v>
          </cell>
        </row>
        <row r="75">
          <cell r="B75">
            <v>2061</v>
          </cell>
          <cell r="C75">
            <v>0</v>
          </cell>
        </row>
        <row r="76">
          <cell r="B76">
            <v>2062</v>
          </cell>
          <cell r="C76">
            <v>0</v>
          </cell>
        </row>
        <row r="77">
          <cell r="B77">
            <v>2063</v>
          </cell>
          <cell r="C77">
            <v>0</v>
          </cell>
        </row>
        <row r="78">
          <cell r="B78">
            <v>2064</v>
          </cell>
          <cell r="C78">
            <v>0</v>
          </cell>
        </row>
        <row r="79">
          <cell r="B79">
            <v>2065</v>
          </cell>
          <cell r="C79">
            <v>0</v>
          </cell>
        </row>
        <row r="80">
          <cell r="B80">
            <v>2066</v>
          </cell>
          <cell r="C80">
            <v>0</v>
          </cell>
        </row>
        <row r="81">
          <cell r="B81">
            <v>2067</v>
          </cell>
          <cell r="C81">
            <v>0</v>
          </cell>
        </row>
      </sheetData>
      <sheetData sheetId="2" refreshError="1"/>
      <sheetData sheetId="3">
        <row r="5">
          <cell r="C5">
            <v>2020</v>
          </cell>
        </row>
      </sheetData>
      <sheetData sheetId="4">
        <row r="11">
          <cell r="C11">
            <v>2020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C Conversion"/>
      <sheetName val="Historical"/>
      <sheetName val="Current"/>
      <sheetName val="Sheet3"/>
    </sheetNames>
    <sheetDataSet>
      <sheetData sheetId="0">
        <row r="1">
          <cell r="A1">
            <v>100</v>
          </cell>
          <cell r="B1">
            <v>2</v>
          </cell>
        </row>
        <row r="2">
          <cell r="A2">
            <v>105</v>
          </cell>
          <cell r="B2">
            <v>3</v>
          </cell>
        </row>
        <row r="3">
          <cell r="A3">
            <v>106</v>
          </cell>
          <cell r="B3">
            <v>3</v>
          </cell>
        </row>
        <row r="4">
          <cell r="A4">
            <v>120</v>
          </cell>
          <cell r="B4">
            <v>4</v>
          </cell>
        </row>
        <row r="5">
          <cell r="A5">
            <v>121</v>
          </cell>
          <cell r="B5">
            <v>4</v>
          </cell>
        </row>
        <row r="6">
          <cell r="A6">
            <v>122</v>
          </cell>
          <cell r="B6">
            <v>4</v>
          </cell>
        </row>
        <row r="7">
          <cell r="A7">
            <v>123</v>
          </cell>
          <cell r="B7">
            <v>4</v>
          </cell>
        </row>
        <row r="8">
          <cell r="A8">
            <v>125</v>
          </cell>
          <cell r="B8">
            <v>5</v>
          </cell>
        </row>
        <row r="9">
          <cell r="A9">
            <v>126</v>
          </cell>
          <cell r="B9">
            <v>5</v>
          </cell>
        </row>
        <row r="10">
          <cell r="A10">
            <v>130</v>
          </cell>
          <cell r="B10">
            <v>6</v>
          </cell>
        </row>
        <row r="11">
          <cell r="A11">
            <v>150</v>
          </cell>
          <cell r="B11">
            <v>8</v>
          </cell>
        </row>
        <row r="12">
          <cell r="A12">
            <v>151</v>
          </cell>
          <cell r="B12">
            <v>8</v>
          </cell>
        </row>
        <row r="13">
          <cell r="A13">
            <v>152</v>
          </cell>
          <cell r="B13">
            <v>8</v>
          </cell>
        </row>
        <row r="14">
          <cell r="A14">
            <v>153</v>
          </cell>
          <cell r="B14">
            <v>8</v>
          </cell>
        </row>
        <row r="15">
          <cell r="A15">
            <v>154</v>
          </cell>
          <cell r="B15">
            <v>8</v>
          </cell>
        </row>
        <row r="16">
          <cell r="A16">
            <v>155</v>
          </cell>
          <cell r="B16">
            <v>8</v>
          </cell>
        </row>
        <row r="17">
          <cell r="A17">
            <v>156</v>
          </cell>
          <cell r="B17">
            <v>8</v>
          </cell>
        </row>
        <row r="18">
          <cell r="A18">
            <v>157</v>
          </cell>
          <cell r="B18">
            <v>8</v>
          </cell>
        </row>
        <row r="19">
          <cell r="A19">
            <v>158</v>
          </cell>
          <cell r="B19">
            <v>8</v>
          </cell>
        </row>
        <row r="20">
          <cell r="A20">
            <v>159</v>
          </cell>
          <cell r="B20">
            <v>8</v>
          </cell>
        </row>
        <row r="21">
          <cell r="A21">
            <v>160</v>
          </cell>
          <cell r="B21">
            <v>8</v>
          </cell>
        </row>
        <row r="22">
          <cell r="A22">
            <v>161</v>
          </cell>
          <cell r="B22">
            <v>8</v>
          </cell>
        </row>
        <row r="23">
          <cell r="A23">
            <v>162</v>
          </cell>
          <cell r="B23">
            <v>8</v>
          </cell>
        </row>
        <row r="24">
          <cell r="A24">
            <v>163</v>
          </cell>
          <cell r="B24">
            <v>8</v>
          </cell>
        </row>
        <row r="25">
          <cell r="A25">
            <v>164</v>
          </cell>
          <cell r="B25">
            <v>8</v>
          </cell>
        </row>
        <row r="26">
          <cell r="A26">
            <v>165</v>
          </cell>
          <cell r="B26">
            <v>8</v>
          </cell>
        </row>
        <row r="27">
          <cell r="A27">
            <v>166</v>
          </cell>
          <cell r="B27">
            <v>8</v>
          </cell>
        </row>
        <row r="28">
          <cell r="A28">
            <v>167</v>
          </cell>
          <cell r="B28">
            <v>8</v>
          </cell>
        </row>
        <row r="29">
          <cell r="A29">
            <v>168</v>
          </cell>
          <cell r="B29">
            <v>8</v>
          </cell>
        </row>
        <row r="30">
          <cell r="A30">
            <v>169</v>
          </cell>
          <cell r="B30">
            <v>8</v>
          </cell>
        </row>
        <row r="31">
          <cell r="A31">
            <v>170</v>
          </cell>
          <cell r="B31">
            <v>8</v>
          </cell>
        </row>
        <row r="32">
          <cell r="A32">
            <v>171</v>
          </cell>
          <cell r="B32">
            <v>8</v>
          </cell>
        </row>
        <row r="33">
          <cell r="A33">
            <v>172</v>
          </cell>
          <cell r="B33">
            <v>8</v>
          </cell>
        </row>
        <row r="34">
          <cell r="A34">
            <v>173</v>
          </cell>
          <cell r="B34">
            <v>8</v>
          </cell>
        </row>
        <row r="35">
          <cell r="A35">
            <v>174</v>
          </cell>
          <cell r="B35">
            <v>8</v>
          </cell>
        </row>
        <row r="36">
          <cell r="A36">
            <v>175</v>
          </cell>
          <cell r="B36">
            <v>8</v>
          </cell>
        </row>
        <row r="37">
          <cell r="A37">
            <v>176</v>
          </cell>
          <cell r="B37">
            <v>8</v>
          </cell>
        </row>
        <row r="38">
          <cell r="A38">
            <v>177</v>
          </cell>
          <cell r="B38">
            <v>8</v>
          </cell>
        </row>
        <row r="39">
          <cell r="A39">
            <v>178</v>
          </cell>
          <cell r="B39">
            <v>8</v>
          </cell>
        </row>
        <row r="40">
          <cell r="A40">
            <v>179</v>
          </cell>
          <cell r="B40">
            <v>8</v>
          </cell>
        </row>
        <row r="41">
          <cell r="A41">
            <v>180</v>
          </cell>
          <cell r="B41">
            <v>8</v>
          </cell>
        </row>
        <row r="42">
          <cell r="A42">
            <v>181</v>
          </cell>
          <cell r="B42">
            <v>8</v>
          </cell>
        </row>
        <row r="43">
          <cell r="A43">
            <v>182</v>
          </cell>
          <cell r="B43">
            <v>8</v>
          </cell>
        </row>
        <row r="44">
          <cell r="A44">
            <v>183</v>
          </cell>
          <cell r="B44">
            <v>8</v>
          </cell>
        </row>
        <row r="45">
          <cell r="A45">
            <v>184</v>
          </cell>
          <cell r="B45">
            <v>8</v>
          </cell>
        </row>
        <row r="46">
          <cell r="A46">
            <v>185</v>
          </cell>
          <cell r="B46">
            <v>8</v>
          </cell>
        </row>
        <row r="47">
          <cell r="A47">
            <v>186</v>
          </cell>
          <cell r="B47">
            <v>8</v>
          </cell>
        </row>
        <row r="48">
          <cell r="A48">
            <v>187</v>
          </cell>
          <cell r="B48">
            <v>8</v>
          </cell>
        </row>
        <row r="49">
          <cell r="A49">
            <v>188</v>
          </cell>
          <cell r="B49">
            <v>8</v>
          </cell>
        </row>
        <row r="50">
          <cell r="A50">
            <v>189</v>
          </cell>
          <cell r="B50">
            <v>8</v>
          </cell>
        </row>
        <row r="51">
          <cell r="A51">
            <v>190</v>
          </cell>
          <cell r="B51">
            <v>8</v>
          </cell>
        </row>
        <row r="52">
          <cell r="A52">
            <v>191</v>
          </cell>
          <cell r="B52">
            <v>8</v>
          </cell>
        </row>
        <row r="53">
          <cell r="A53">
            <v>192</v>
          </cell>
          <cell r="B53">
            <v>8</v>
          </cell>
        </row>
        <row r="54">
          <cell r="A54">
            <v>193</v>
          </cell>
          <cell r="B54">
            <v>8</v>
          </cell>
        </row>
        <row r="55">
          <cell r="A55">
            <v>194</v>
          </cell>
          <cell r="B55">
            <v>8</v>
          </cell>
        </row>
        <row r="56">
          <cell r="A56">
            <v>200</v>
          </cell>
          <cell r="B56">
            <v>9</v>
          </cell>
        </row>
        <row r="57">
          <cell r="A57">
            <v>201</v>
          </cell>
          <cell r="B57">
            <v>9</v>
          </cell>
        </row>
        <row r="58">
          <cell r="A58">
            <v>202</v>
          </cell>
          <cell r="B58">
            <v>9</v>
          </cell>
        </row>
        <row r="59">
          <cell r="A59">
            <v>203</v>
          </cell>
          <cell r="B59">
            <v>9</v>
          </cell>
        </row>
        <row r="60">
          <cell r="A60">
            <v>204</v>
          </cell>
          <cell r="B60">
            <v>9</v>
          </cell>
        </row>
        <row r="61">
          <cell r="A61">
            <v>205</v>
          </cell>
          <cell r="B61">
            <v>9</v>
          </cell>
        </row>
        <row r="62">
          <cell r="A62">
            <v>206</v>
          </cell>
          <cell r="B62">
            <v>9</v>
          </cell>
        </row>
        <row r="63">
          <cell r="A63">
            <v>207</v>
          </cell>
          <cell r="B63">
            <v>9</v>
          </cell>
        </row>
        <row r="64">
          <cell r="A64">
            <v>208</v>
          </cell>
          <cell r="B64">
            <v>9</v>
          </cell>
        </row>
        <row r="65">
          <cell r="A65">
            <v>209</v>
          </cell>
          <cell r="B65">
            <v>9</v>
          </cell>
        </row>
        <row r="66">
          <cell r="A66">
            <v>210</v>
          </cell>
          <cell r="B66">
            <v>9</v>
          </cell>
        </row>
        <row r="67">
          <cell r="A67">
            <v>211</v>
          </cell>
          <cell r="B67">
            <v>9</v>
          </cell>
        </row>
        <row r="68">
          <cell r="A68">
            <v>212</v>
          </cell>
          <cell r="B68">
            <v>9</v>
          </cell>
        </row>
        <row r="69">
          <cell r="A69">
            <v>213</v>
          </cell>
          <cell r="B69">
            <v>9</v>
          </cell>
        </row>
        <row r="70">
          <cell r="A70">
            <v>214</v>
          </cell>
          <cell r="B70">
            <v>9</v>
          </cell>
        </row>
        <row r="71">
          <cell r="A71">
            <v>215</v>
          </cell>
          <cell r="B71">
            <v>9</v>
          </cell>
        </row>
        <row r="72">
          <cell r="A72">
            <v>216</v>
          </cell>
          <cell r="B72">
            <v>9</v>
          </cell>
        </row>
        <row r="73">
          <cell r="A73">
            <v>217</v>
          </cell>
          <cell r="B73">
            <v>9</v>
          </cell>
        </row>
        <row r="74">
          <cell r="A74">
            <v>218</v>
          </cell>
          <cell r="B74">
            <v>9</v>
          </cell>
        </row>
        <row r="75">
          <cell r="A75">
            <v>219</v>
          </cell>
          <cell r="B75">
            <v>9</v>
          </cell>
        </row>
        <row r="76">
          <cell r="A76">
            <v>220</v>
          </cell>
          <cell r="B76">
            <v>9</v>
          </cell>
        </row>
        <row r="77">
          <cell r="A77">
            <v>221</v>
          </cell>
          <cell r="B77">
            <v>9</v>
          </cell>
        </row>
        <row r="78">
          <cell r="A78">
            <v>222</v>
          </cell>
          <cell r="B78">
            <v>9</v>
          </cell>
        </row>
        <row r="79">
          <cell r="A79">
            <v>223</v>
          </cell>
          <cell r="B79">
            <v>9</v>
          </cell>
        </row>
        <row r="80">
          <cell r="A80">
            <v>224</v>
          </cell>
          <cell r="B80">
            <v>9</v>
          </cell>
        </row>
        <row r="81">
          <cell r="A81">
            <v>225</v>
          </cell>
          <cell r="B81">
            <v>9</v>
          </cell>
        </row>
        <row r="82">
          <cell r="A82">
            <v>226</v>
          </cell>
          <cell r="B82">
            <v>9</v>
          </cell>
        </row>
        <row r="83">
          <cell r="A83">
            <v>227</v>
          </cell>
          <cell r="B83">
            <v>9</v>
          </cell>
        </row>
        <row r="84">
          <cell r="A84">
            <v>228</v>
          </cell>
          <cell r="B84">
            <v>9</v>
          </cell>
        </row>
        <row r="85">
          <cell r="A85">
            <v>229</v>
          </cell>
          <cell r="B85">
            <v>9</v>
          </cell>
        </row>
        <row r="86">
          <cell r="A86">
            <v>230</v>
          </cell>
          <cell r="B86">
            <v>9</v>
          </cell>
        </row>
        <row r="87">
          <cell r="A87">
            <v>231</v>
          </cell>
          <cell r="B87">
            <v>9</v>
          </cell>
        </row>
        <row r="88">
          <cell r="A88">
            <v>232</v>
          </cell>
          <cell r="B88">
            <v>9</v>
          </cell>
        </row>
        <row r="89">
          <cell r="A89">
            <v>233</v>
          </cell>
          <cell r="B89">
            <v>9</v>
          </cell>
        </row>
        <row r="90">
          <cell r="A90">
            <v>234</v>
          </cell>
          <cell r="B90">
            <v>9</v>
          </cell>
        </row>
        <row r="91">
          <cell r="A91">
            <v>235</v>
          </cell>
          <cell r="B91">
            <v>9</v>
          </cell>
        </row>
        <row r="92">
          <cell r="A92">
            <v>236</v>
          </cell>
          <cell r="B92">
            <v>9</v>
          </cell>
        </row>
        <row r="93">
          <cell r="A93">
            <v>237</v>
          </cell>
          <cell r="B93">
            <v>9</v>
          </cell>
        </row>
        <row r="94">
          <cell r="A94">
            <v>238</v>
          </cell>
          <cell r="B94">
            <v>9</v>
          </cell>
        </row>
        <row r="95">
          <cell r="A95">
            <v>239</v>
          </cell>
          <cell r="B95">
            <v>9</v>
          </cell>
        </row>
        <row r="96">
          <cell r="A96">
            <v>240</v>
          </cell>
          <cell r="B96">
            <v>9</v>
          </cell>
        </row>
        <row r="97">
          <cell r="A97">
            <v>241</v>
          </cell>
          <cell r="B97">
            <v>9</v>
          </cell>
        </row>
        <row r="98">
          <cell r="A98">
            <v>242</v>
          </cell>
          <cell r="B98">
            <v>9</v>
          </cell>
        </row>
        <row r="99">
          <cell r="A99">
            <v>243</v>
          </cell>
          <cell r="B99">
            <v>9</v>
          </cell>
        </row>
        <row r="100">
          <cell r="A100">
            <v>244</v>
          </cell>
          <cell r="B100">
            <v>9</v>
          </cell>
        </row>
        <row r="101">
          <cell r="A101">
            <v>245</v>
          </cell>
          <cell r="B101">
            <v>9</v>
          </cell>
        </row>
        <row r="102">
          <cell r="A102">
            <v>246</v>
          </cell>
          <cell r="B102">
            <v>9</v>
          </cell>
        </row>
        <row r="103">
          <cell r="A103">
            <v>247</v>
          </cell>
          <cell r="B103">
            <v>9</v>
          </cell>
        </row>
        <row r="104">
          <cell r="A104">
            <v>248</v>
          </cell>
          <cell r="B104">
            <v>9</v>
          </cell>
        </row>
        <row r="105">
          <cell r="A105">
            <v>249</v>
          </cell>
          <cell r="B105">
            <v>9</v>
          </cell>
        </row>
        <row r="106">
          <cell r="A106">
            <v>250</v>
          </cell>
          <cell r="B106">
            <v>9</v>
          </cell>
        </row>
        <row r="107">
          <cell r="A107">
            <v>251</v>
          </cell>
          <cell r="B107">
            <v>9</v>
          </cell>
        </row>
        <row r="108">
          <cell r="A108">
            <v>252</v>
          </cell>
          <cell r="B108">
            <v>9</v>
          </cell>
        </row>
        <row r="109">
          <cell r="A109">
            <v>253</v>
          </cell>
          <cell r="B109">
            <v>9</v>
          </cell>
        </row>
        <row r="110">
          <cell r="A110">
            <v>254</v>
          </cell>
          <cell r="B110">
            <v>9</v>
          </cell>
        </row>
        <row r="111">
          <cell r="A111">
            <v>255</v>
          </cell>
          <cell r="B111">
            <v>9</v>
          </cell>
        </row>
        <row r="112">
          <cell r="A112">
            <v>256</v>
          </cell>
          <cell r="B112">
            <v>9</v>
          </cell>
        </row>
        <row r="113">
          <cell r="A113">
            <v>257</v>
          </cell>
          <cell r="B113">
            <v>9</v>
          </cell>
        </row>
        <row r="114">
          <cell r="A114">
            <v>258</v>
          </cell>
          <cell r="B114">
            <v>9</v>
          </cell>
        </row>
        <row r="115">
          <cell r="A115">
            <v>259</v>
          </cell>
          <cell r="B115">
            <v>9</v>
          </cell>
        </row>
        <row r="116">
          <cell r="A116">
            <v>260</v>
          </cell>
          <cell r="B116">
            <v>9</v>
          </cell>
        </row>
        <row r="117">
          <cell r="A117">
            <v>261</v>
          </cell>
          <cell r="B117">
            <v>9</v>
          </cell>
        </row>
        <row r="118">
          <cell r="A118">
            <v>262</v>
          </cell>
          <cell r="B118">
            <v>9</v>
          </cell>
        </row>
        <row r="119">
          <cell r="A119">
            <v>263</v>
          </cell>
          <cell r="B119">
            <v>9</v>
          </cell>
        </row>
        <row r="120">
          <cell r="A120">
            <v>264</v>
          </cell>
          <cell r="B120">
            <v>9</v>
          </cell>
        </row>
        <row r="121">
          <cell r="A121">
            <v>265</v>
          </cell>
          <cell r="B121">
            <v>9</v>
          </cell>
        </row>
        <row r="122">
          <cell r="A122">
            <v>266</v>
          </cell>
          <cell r="B122">
            <v>9</v>
          </cell>
        </row>
        <row r="123">
          <cell r="A123">
            <v>267</v>
          </cell>
          <cell r="B123">
            <v>9</v>
          </cell>
        </row>
        <row r="124">
          <cell r="A124">
            <v>280</v>
          </cell>
          <cell r="B124">
            <v>11</v>
          </cell>
        </row>
        <row r="125">
          <cell r="A125">
            <v>281</v>
          </cell>
          <cell r="B125">
            <v>11</v>
          </cell>
        </row>
        <row r="126">
          <cell r="A126">
            <v>282</v>
          </cell>
          <cell r="B126">
            <v>11</v>
          </cell>
        </row>
        <row r="127">
          <cell r="A127">
            <v>283</v>
          </cell>
          <cell r="B127">
            <v>11</v>
          </cell>
        </row>
        <row r="128">
          <cell r="A128">
            <v>284</v>
          </cell>
          <cell r="B128">
            <v>11</v>
          </cell>
        </row>
        <row r="129">
          <cell r="A129">
            <v>285</v>
          </cell>
          <cell r="B129">
            <v>11</v>
          </cell>
        </row>
        <row r="130">
          <cell r="A130">
            <v>286</v>
          </cell>
          <cell r="B130">
            <v>11</v>
          </cell>
        </row>
        <row r="131">
          <cell r="A131">
            <v>287</v>
          </cell>
          <cell r="B131">
            <v>11</v>
          </cell>
        </row>
        <row r="132">
          <cell r="A132">
            <v>288</v>
          </cell>
          <cell r="B132">
            <v>11</v>
          </cell>
        </row>
        <row r="133">
          <cell r="A133">
            <v>289</v>
          </cell>
          <cell r="B133">
            <v>11</v>
          </cell>
        </row>
        <row r="134">
          <cell r="A134">
            <v>290</v>
          </cell>
          <cell r="B134">
            <v>11</v>
          </cell>
        </row>
        <row r="135">
          <cell r="A135">
            <v>291</v>
          </cell>
          <cell r="B135">
            <v>11</v>
          </cell>
        </row>
        <row r="136">
          <cell r="A136">
            <v>292</v>
          </cell>
          <cell r="B136">
            <v>11</v>
          </cell>
        </row>
        <row r="137">
          <cell r="A137">
            <v>293</v>
          </cell>
          <cell r="B137">
            <v>11</v>
          </cell>
        </row>
        <row r="138">
          <cell r="A138">
            <v>294</v>
          </cell>
          <cell r="B138">
            <v>11</v>
          </cell>
        </row>
        <row r="139">
          <cell r="A139">
            <v>295</v>
          </cell>
          <cell r="B139">
            <v>11</v>
          </cell>
        </row>
        <row r="140">
          <cell r="A140">
            <v>296</v>
          </cell>
          <cell r="B140">
            <v>11</v>
          </cell>
        </row>
        <row r="141">
          <cell r="A141">
            <v>297</v>
          </cell>
          <cell r="B141">
            <v>11</v>
          </cell>
        </row>
        <row r="142">
          <cell r="A142">
            <v>298</v>
          </cell>
          <cell r="B142">
            <v>11</v>
          </cell>
        </row>
        <row r="143">
          <cell r="A143">
            <v>299</v>
          </cell>
          <cell r="B143">
            <v>11</v>
          </cell>
        </row>
        <row r="144">
          <cell r="A144">
            <v>300</v>
          </cell>
          <cell r="B144">
            <v>11</v>
          </cell>
        </row>
        <row r="145">
          <cell r="A145">
            <v>301</v>
          </cell>
          <cell r="B145">
            <v>11</v>
          </cell>
        </row>
        <row r="146">
          <cell r="A146">
            <v>302</v>
          </cell>
          <cell r="B146">
            <v>11</v>
          </cell>
        </row>
        <row r="147">
          <cell r="A147">
            <v>303</v>
          </cell>
          <cell r="B147">
            <v>11</v>
          </cell>
        </row>
        <row r="148">
          <cell r="A148">
            <v>304</v>
          </cell>
          <cell r="B148">
            <v>11</v>
          </cell>
        </row>
        <row r="149">
          <cell r="A149">
            <v>305</v>
          </cell>
          <cell r="B149">
            <v>11</v>
          </cell>
        </row>
        <row r="150">
          <cell r="A150">
            <v>306</v>
          </cell>
          <cell r="B150">
            <v>11</v>
          </cell>
        </row>
        <row r="151">
          <cell r="A151">
            <v>307</v>
          </cell>
          <cell r="B151">
            <v>11</v>
          </cell>
        </row>
        <row r="152">
          <cell r="A152">
            <v>308</v>
          </cell>
          <cell r="B152">
            <v>11</v>
          </cell>
        </row>
        <row r="153">
          <cell r="A153">
            <v>309</v>
          </cell>
          <cell r="B153">
            <v>11</v>
          </cell>
        </row>
        <row r="154">
          <cell r="A154">
            <v>310</v>
          </cell>
          <cell r="B154">
            <v>11</v>
          </cell>
        </row>
        <row r="155">
          <cell r="A155">
            <v>311</v>
          </cell>
          <cell r="B155">
            <v>11</v>
          </cell>
        </row>
        <row r="156">
          <cell r="A156">
            <v>312</v>
          </cell>
          <cell r="B156">
            <v>11</v>
          </cell>
        </row>
        <row r="157">
          <cell r="A157">
            <v>313</v>
          </cell>
          <cell r="B157">
            <v>11</v>
          </cell>
        </row>
        <row r="158">
          <cell r="A158">
            <v>314</v>
          </cell>
          <cell r="B158">
            <v>11</v>
          </cell>
        </row>
        <row r="159">
          <cell r="A159">
            <v>320</v>
          </cell>
          <cell r="B159">
            <v>12</v>
          </cell>
        </row>
        <row r="160">
          <cell r="A160">
            <v>340</v>
          </cell>
          <cell r="B160">
            <v>16</v>
          </cell>
        </row>
        <row r="161">
          <cell r="A161">
            <v>341</v>
          </cell>
          <cell r="B161">
            <v>17</v>
          </cell>
        </row>
        <row r="162">
          <cell r="A162">
            <v>342</v>
          </cell>
          <cell r="B162">
            <v>35</v>
          </cell>
        </row>
        <row r="163">
          <cell r="A163">
            <v>343</v>
          </cell>
          <cell r="B163">
            <v>13</v>
          </cell>
        </row>
        <row r="164">
          <cell r="A164">
            <v>355</v>
          </cell>
          <cell r="B164">
            <v>18</v>
          </cell>
        </row>
        <row r="165">
          <cell r="A165">
            <v>356</v>
          </cell>
          <cell r="B165">
            <v>19</v>
          </cell>
        </row>
        <row r="166">
          <cell r="A166">
            <v>365</v>
          </cell>
          <cell r="B166">
            <v>20</v>
          </cell>
        </row>
        <row r="167">
          <cell r="A167">
            <v>370</v>
          </cell>
          <cell r="B167">
            <v>23</v>
          </cell>
        </row>
        <row r="168">
          <cell r="A168">
            <v>372</v>
          </cell>
          <cell r="B168">
            <v>24</v>
          </cell>
        </row>
        <row r="169">
          <cell r="A169">
            <v>375</v>
          </cell>
          <cell r="B169">
            <v>25</v>
          </cell>
        </row>
        <row r="170">
          <cell r="A170">
            <v>380</v>
          </cell>
          <cell r="B170">
            <v>26</v>
          </cell>
        </row>
        <row r="171">
          <cell r="A171">
            <v>389</v>
          </cell>
          <cell r="B171">
            <v>26</v>
          </cell>
        </row>
        <row r="172">
          <cell r="A172">
            <v>400</v>
          </cell>
          <cell r="B172">
            <v>27</v>
          </cell>
        </row>
        <row r="173">
          <cell r="A173">
            <v>410</v>
          </cell>
          <cell r="B173">
            <v>29</v>
          </cell>
        </row>
        <row r="174">
          <cell r="A174">
            <v>411</v>
          </cell>
          <cell r="B174">
            <v>31</v>
          </cell>
        </row>
        <row r="175">
          <cell r="A175">
            <v>419</v>
          </cell>
          <cell r="B175">
            <v>37</v>
          </cell>
        </row>
        <row r="176">
          <cell r="A176">
            <v>420</v>
          </cell>
          <cell r="B176">
            <v>37</v>
          </cell>
        </row>
        <row r="177">
          <cell r="A177">
            <v>430</v>
          </cell>
          <cell r="B177">
            <v>39</v>
          </cell>
        </row>
        <row r="178">
          <cell r="A178">
            <v>431</v>
          </cell>
          <cell r="B178">
            <v>39</v>
          </cell>
        </row>
        <row r="179">
          <cell r="A179">
            <v>432</v>
          </cell>
          <cell r="B179">
            <v>39</v>
          </cell>
        </row>
        <row r="180">
          <cell r="A180">
            <v>433</v>
          </cell>
          <cell r="B180">
            <v>39</v>
          </cell>
        </row>
        <row r="181">
          <cell r="A181">
            <v>434</v>
          </cell>
          <cell r="B181">
            <v>39</v>
          </cell>
        </row>
        <row r="182">
          <cell r="A182">
            <v>440</v>
          </cell>
          <cell r="B182">
            <v>44</v>
          </cell>
        </row>
        <row r="183">
          <cell r="A183">
            <v>445</v>
          </cell>
          <cell r="B183">
            <v>45</v>
          </cell>
        </row>
        <row r="184">
          <cell r="A184">
            <v>465</v>
          </cell>
          <cell r="B184">
            <v>76</v>
          </cell>
        </row>
        <row r="185">
          <cell r="A185">
            <v>536</v>
          </cell>
          <cell r="B185">
            <v>52</v>
          </cell>
        </row>
        <row r="186">
          <cell r="A186">
            <v>556</v>
          </cell>
          <cell r="B186">
            <v>53</v>
          </cell>
        </row>
        <row r="187">
          <cell r="A187">
            <v>613</v>
          </cell>
          <cell r="B187">
            <v>55</v>
          </cell>
        </row>
        <row r="188">
          <cell r="A188">
            <v>635</v>
          </cell>
          <cell r="B188">
            <v>57</v>
          </cell>
        </row>
        <row r="189">
          <cell r="A189">
            <v>656</v>
          </cell>
          <cell r="B189">
            <v>58</v>
          </cell>
        </row>
        <row r="190">
          <cell r="A190">
            <v>690</v>
          </cell>
          <cell r="B190">
            <v>59</v>
          </cell>
        </row>
        <row r="191">
          <cell r="A191">
            <v>468</v>
          </cell>
          <cell r="B191">
            <v>76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files.nc.gov/ncosbm/demog/countygrowth_2030.html" TargetMode="External"/><Relationship Id="rId1" Type="http://schemas.openxmlformats.org/officeDocument/2006/relationships/hyperlink" Target="https://www.colorado.edu/economics/sites/default/files/attached-files/wp17_03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hitehouse.gov/wp-content/uploads/2019/03/hist10z1-fy2020.xlsx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s://www.google.com/url?sa=t&amp;rct=j&amp;q=&amp;esrc=s&amp;source=web&amp;cd=1&amp;cad=rja&amp;uact=8&amp;ved=0ahUKEwiv-8XR8cLLAhVV5WMKHYZ6Ap8QFggcMAA&amp;url=http%3A%2F%2Fwww.fhwa.dot.gov%2Fbridge%2Fpreservation%2Fguide%2Fguide.pdf&amp;usg=AFQjCNEf26d_7T9a9n7jxVGGtwyGvq2zQg&amp;sig2=Z8jY2-M9fT0zre_vXvSplg&amp;bvm=bv.116954456,d.cGc" TargetMode="External"/><Relationship Id="rId1" Type="http://schemas.openxmlformats.org/officeDocument/2006/relationships/hyperlink" Target="http://www.bea.gov/scb/account_articles/national/wlth2594/tableC.htm" TargetMode="External"/><Relationship Id="rId4" Type="http://schemas.openxmlformats.org/officeDocument/2006/relationships/drawing" Target="../drawings/drawing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fmcsa.dot.gov/sites/fmcsa.dot.gov/files/docs/2011_HOS_Final_Rule_EA_Appendice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transportation.gov/sites/dot.gov/files/docs/mission/office-policy/transportation-policy/284031/benefit-cost-analysis-guidance-2018.pdf" TargetMode="External"/><Relationship Id="rId1" Type="http://schemas.openxmlformats.org/officeDocument/2006/relationships/hyperlink" Target="http://atri-online.org/wp-content/uploads/2015/09/ATRI-Operational-Costs-of-Trucking-2015-FINAL-09-2015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ncdot.gov/about-us/our-mission/Performance/Pages/service-reliability.aspx" TargetMode="External"/><Relationship Id="rId1" Type="http://schemas.openxmlformats.org/officeDocument/2006/relationships/hyperlink" Target="https://ops.fhwa.dot.gov/eto_tim_pse/timtoolbox/products/tim_brochure.pdf" TargetMode="External"/><Relationship Id="rId4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499984740745262"/>
  </sheetPr>
  <dimension ref="B1:H27"/>
  <sheetViews>
    <sheetView tabSelected="1" workbookViewId="0">
      <selection activeCell="B2" sqref="B2"/>
    </sheetView>
  </sheetViews>
  <sheetFormatPr defaultRowHeight="15"/>
  <cols>
    <col min="2" max="2" width="36.42578125" style="64" bestFit="1" customWidth="1"/>
    <col min="3" max="3" width="16.7109375" style="64" customWidth="1"/>
    <col min="4" max="4" width="17" style="64" customWidth="1"/>
  </cols>
  <sheetData>
    <row r="1" spans="2:8" ht="15.75" thickBot="1">
      <c r="C1" s="253"/>
      <c r="D1" s="253"/>
    </row>
    <row r="2" spans="2:8">
      <c r="B2" s="278" t="str">
        <f>"Analysis Period: "&amp;" ("&amp;Inputs!B8&amp;" years)"</f>
        <v>Analysis Period:  (30 years)</v>
      </c>
      <c r="C2" s="444" t="s">
        <v>210</v>
      </c>
      <c r="D2" s="445" t="s">
        <v>211</v>
      </c>
    </row>
    <row r="3" spans="2:8" s="64" customFormat="1">
      <c r="B3" s="339"/>
      <c r="C3" s="340" t="str">
        <f>Inputs!B7+1&amp;"-"&amp;(Inputs!B7+Inputs!B8)</f>
        <v>2026-2055</v>
      </c>
      <c r="D3" s="341" t="str">
        <f>Inputs!B7+1&amp;"-"&amp;(Inputs!B7+Inputs!B8-1)</f>
        <v>2026-2054</v>
      </c>
    </row>
    <row r="4" spans="2:8" ht="18" customHeight="1">
      <c r="B4" s="632" t="s">
        <v>354</v>
      </c>
      <c r="C4" s="633"/>
      <c r="D4" s="634"/>
    </row>
    <row r="5" spans="2:8">
      <c r="B5" s="281" t="s">
        <v>212</v>
      </c>
      <c r="C5" s="104">
        <f>'CapitalCosts '!D60/10^6</f>
        <v>109.928675</v>
      </c>
      <c r="D5" s="424">
        <f>'CapitalCosts '!E60/10^6</f>
        <v>129.72769700000001</v>
      </c>
    </row>
    <row r="6" spans="2:8">
      <c r="B6" s="540" t="s">
        <v>213</v>
      </c>
      <c r="C6" s="538">
        <f t="shared" ref="C6" si="0">C5</f>
        <v>109.928675</v>
      </c>
      <c r="D6" s="539">
        <f t="shared" ref="D6" si="1">D5</f>
        <v>129.72769700000001</v>
      </c>
      <c r="F6" s="115"/>
    </row>
    <row r="7" spans="2:8" ht="18" customHeight="1">
      <c r="B7" s="632" t="s">
        <v>355</v>
      </c>
      <c r="C7" s="633"/>
      <c r="D7" s="634"/>
    </row>
    <row r="8" spans="2:8">
      <c r="B8" s="280" t="s">
        <v>217</v>
      </c>
      <c r="C8" s="419"/>
      <c r="D8" s="418"/>
    </row>
    <row r="9" spans="2:8" ht="15" customHeight="1">
      <c r="B9" s="279" t="s">
        <v>225</v>
      </c>
      <c r="C9" s="104">
        <f>Auto_TT_Savings!F60/10^6</f>
        <v>7.748024</v>
      </c>
      <c r="D9" s="424">
        <f>Auto_TT_Savings!G60/10^6</f>
        <v>16.359185</v>
      </c>
    </row>
    <row r="10" spans="2:8">
      <c r="B10" s="279" t="s">
        <v>219</v>
      </c>
      <c r="C10" s="104">
        <f>Truck_OperatingSavings!F78/10^6</f>
        <v>0.51129899999999995</v>
      </c>
      <c r="D10" s="424">
        <f>Truck_OperatingSavings!G78/10^6</f>
        <v>1.152482</v>
      </c>
    </row>
    <row r="11" spans="2:8">
      <c r="B11" s="279" t="s">
        <v>823</v>
      </c>
      <c r="C11" s="519">
        <f>'Incident Management_Savings'!H57/10^6</f>
        <v>11.899289</v>
      </c>
      <c r="D11" s="520">
        <f>'Incident Management_Savings'!I57/10^6</f>
        <v>23.842210000000001</v>
      </c>
    </row>
    <row r="12" spans="2:8">
      <c r="B12" s="279" t="s">
        <v>824</v>
      </c>
      <c r="C12" s="519">
        <f>Resiliency_Savings!H57/10^6</f>
        <v>24.769528999999999</v>
      </c>
      <c r="D12" s="520">
        <f>Resiliency_Savings!I57/10^6</f>
        <v>52.158593000000003</v>
      </c>
      <c r="H12" s="64"/>
    </row>
    <row r="13" spans="2:8">
      <c r="B13" s="279" t="s">
        <v>828</v>
      </c>
      <c r="C13" s="519">
        <f>Reliability_Savings!F61/10^6</f>
        <v>26.296970000000002</v>
      </c>
      <c r="D13" s="520">
        <f>Reliability_Savings!G61/10^6</f>
        <v>51.452528999999998</v>
      </c>
    </row>
    <row r="14" spans="2:8" s="64" customFormat="1">
      <c r="B14" s="279" t="s">
        <v>839</v>
      </c>
      <c r="C14" s="104">
        <f>Fiber!E72/10^6</f>
        <v>0.34717562148031522</v>
      </c>
      <c r="D14" s="424">
        <f>Fiber!F72/10^6</f>
        <v>0.66345215824214709</v>
      </c>
    </row>
    <row r="15" spans="2:8" s="64" customFormat="1">
      <c r="B15" s="282" t="s">
        <v>216</v>
      </c>
      <c r="C15" s="105">
        <f>SUM(C9:C14)</f>
        <v>71.572286621480316</v>
      </c>
      <c r="D15" s="425">
        <f>SUM(D9:D14)</f>
        <v>145.62845115824214</v>
      </c>
    </row>
    <row r="16" spans="2:8" s="64" customFormat="1">
      <c r="B16" s="280" t="s">
        <v>214</v>
      </c>
      <c r="C16" s="419"/>
      <c r="D16" s="418"/>
    </row>
    <row r="17" spans="2:4" s="64" customFormat="1">
      <c r="B17" s="281" t="s">
        <v>215</v>
      </c>
      <c r="C17" s="104">
        <f>Safety!F67/10^6</f>
        <v>29.942806000000001</v>
      </c>
      <c r="D17" s="424">
        <f>Safety!G67/10^6</f>
        <v>58.585953000000003</v>
      </c>
    </row>
    <row r="18" spans="2:4">
      <c r="B18" s="282" t="s">
        <v>216</v>
      </c>
      <c r="C18" s="106">
        <f t="shared" ref="C18" si="2">C17</f>
        <v>29.942806000000001</v>
      </c>
      <c r="D18" s="426">
        <f t="shared" ref="D18" si="3">D17</f>
        <v>58.585953000000003</v>
      </c>
    </row>
    <row r="19" spans="2:4">
      <c r="B19" s="283" t="s">
        <v>838</v>
      </c>
      <c r="C19" s="420"/>
      <c r="D19" s="417"/>
    </row>
    <row r="20" spans="2:4">
      <c r="B20" s="279" t="s">
        <v>221</v>
      </c>
      <c r="C20" s="104">
        <f>'O&amp;M_Costs'!D57/10^6</f>
        <v>4.023396</v>
      </c>
      <c r="D20" s="424">
        <f>'O&amp;M_Costs'!E57/10^6</f>
        <v>6.2229210000000004</v>
      </c>
    </row>
    <row r="21" spans="2:4">
      <c r="B21" s="279" t="s">
        <v>218</v>
      </c>
      <c r="C21" s="104">
        <f>Residual!C51</f>
        <v>5.6856728520708248</v>
      </c>
      <c r="D21" s="424">
        <f>Residual!C52</f>
        <v>21.573033680339634</v>
      </c>
    </row>
    <row r="22" spans="2:4">
      <c r="B22" s="282" t="s">
        <v>216</v>
      </c>
      <c r="C22" s="105">
        <f>SUM(C20:C21)</f>
        <v>9.7090688520708248</v>
      </c>
      <c r="D22" s="425">
        <f>SUM(D20:D21)</f>
        <v>27.795954680339634</v>
      </c>
    </row>
    <row r="23" spans="2:4">
      <c r="B23" s="537" t="s">
        <v>222</v>
      </c>
      <c r="C23" s="538">
        <f>C18+C15+C22</f>
        <v>111.22416147355115</v>
      </c>
      <c r="D23" s="539">
        <f>D18+D15+D22</f>
        <v>232.01035883858177</v>
      </c>
    </row>
    <row r="24" spans="2:4" ht="18">
      <c r="B24" s="632" t="s">
        <v>223</v>
      </c>
      <c r="C24" s="633"/>
      <c r="D24" s="634"/>
    </row>
    <row r="25" spans="2:4">
      <c r="B25" s="284" t="s">
        <v>451</v>
      </c>
      <c r="C25" s="103">
        <f>C23-C6</f>
        <v>1.2954864735511507</v>
      </c>
      <c r="D25" s="427">
        <f>D23-D6</f>
        <v>102.28266183858176</v>
      </c>
    </row>
    <row r="26" spans="2:4" ht="15.75" thickBot="1">
      <c r="B26" s="285" t="s">
        <v>224</v>
      </c>
      <c r="C26" s="521">
        <f>C23/C5</f>
        <v>1.011784791125256</v>
      </c>
      <c r="D26" s="524">
        <f>D23/D5</f>
        <v>1.7884412057248018</v>
      </c>
    </row>
    <row r="27" spans="2:4">
      <c r="B27" s="74"/>
      <c r="C27" s="74"/>
      <c r="D27" s="74"/>
    </row>
  </sheetData>
  <mergeCells count="3">
    <mergeCell ref="B4:D4"/>
    <mergeCell ref="B7:D7"/>
    <mergeCell ref="B24:D24"/>
  </mergeCells>
  <phoneticPr fontId="66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46BCB-1843-4587-9C3C-42E54E7DF19A}">
  <sheetPr>
    <tabColor theme="6" tint="-0.249977111117893"/>
  </sheetPr>
  <dimension ref="A1:AU61"/>
  <sheetViews>
    <sheetView workbookViewId="0"/>
  </sheetViews>
  <sheetFormatPr defaultColWidth="9.140625" defaultRowHeight="15"/>
  <cols>
    <col min="1" max="1" width="10.7109375" style="512" customWidth="1"/>
    <col min="2" max="2" width="25.28515625" style="64" customWidth="1"/>
    <col min="3" max="3" width="18" style="64" customWidth="1"/>
    <col min="4" max="4" width="17.140625" style="64" customWidth="1"/>
    <col min="5" max="5" width="18.140625" style="64" customWidth="1"/>
    <col min="6" max="6" width="14.5703125" style="64" customWidth="1"/>
    <col min="7" max="7" width="15.7109375" style="64" customWidth="1"/>
    <col min="8" max="8" width="18" style="64" customWidth="1"/>
    <col min="9" max="9" width="17.140625" style="64" customWidth="1"/>
    <col min="10" max="10" width="18.140625" style="64" customWidth="1"/>
    <col min="11" max="11" width="14.5703125" style="64" customWidth="1"/>
    <col min="12" max="12" width="15.7109375" style="64" customWidth="1"/>
    <col min="13" max="13" width="18" style="64" customWidth="1"/>
    <col min="14" max="14" width="17.140625" style="64" customWidth="1"/>
    <col min="15" max="15" width="18.140625" style="64" customWidth="1"/>
    <col min="16" max="16" width="14.5703125" style="64" customWidth="1"/>
    <col min="17" max="17" width="15.7109375" style="64" customWidth="1"/>
    <col min="18" max="18" width="18" style="64" customWidth="1"/>
    <col min="19" max="19" width="17.140625" style="64" customWidth="1"/>
    <col min="20" max="20" width="18.140625" style="64" customWidth="1"/>
    <col min="21" max="21" width="14.5703125" style="64" customWidth="1"/>
    <col min="22" max="22" width="15.7109375" style="64" customWidth="1"/>
    <col min="23" max="23" width="18" style="64" customWidth="1"/>
    <col min="24" max="24" width="17.140625" style="64" customWidth="1"/>
    <col min="25" max="25" width="18.140625" style="64" customWidth="1"/>
    <col min="26" max="26" width="14.5703125" style="64" customWidth="1"/>
    <col min="27" max="27" width="15.7109375" style="64" customWidth="1"/>
    <col min="28" max="28" width="18" style="64" customWidth="1"/>
    <col min="29" max="29" width="17.140625" style="64" customWidth="1"/>
    <col min="30" max="30" width="18.140625" style="64" customWidth="1"/>
    <col min="31" max="31" width="14.5703125" style="64" customWidth="1"/>
    <col min="32" max="32" width="15.7109375" style="64" customWidth="1"/>
    <col min="33" max="33" width="18" style="64" customWidth="1"/>
    <col min="34" max="34" width="17.140625" style="64" customWidth="1"/>
    <col min="35" max="35" width="18.140625" style="64" customWidth="1"/>
    <col min="36" max="36" width="14.5703125" style="64" customWidth="1"/>
    <col min="37" max="37" width="15.7109375" style="64" customWidth="1"/>
    <col min="38" max="38" width="18" style="64" customWidth="1"/>
    <col min="39" max="39" width="17.140625" style="64" customWidth="1"/>
    <col min="40" max="40" width="18.140625" style="64" customWidth="1"/>
    <col min="41" max="41" width="14.5703125" style="64" customWidth="1"/>
    <col min="42" max="42" width="15.7109375" style="64" customWidth="1"/>
    <col min="43" max="43" width="18" style="64" customWidth="1"/>
    <col min="44" max="44" width="17.140625" style="64" customWidth="1"/>
    <col min="45" max="45" width="18.140625" style="64" customWidth="1"/>
    <col min="46" max="46" width="14.5703125" style="64" customWidth="1"/>
    <col min="47" max="47" width="15.7109375" style="64" customWidth="1"/>
    <col min="48" max="48" width="18" style="64" customWidth="1"/>
    <col min="49" max="49" width="17.140625" style="64" customWidth="1"/>
    <col min="50" max="50" width="18.140625" style="64" customWidth="1"/>
    <col min="51" max="51" width="14.5703125" style="64" customWidth="1"/>
    <col min="52" max="52" width="15.7109375" style="64" customWidth="1"/>
    <col min="53" max="53" width="18" style="64" customWidth="1"/>
    <col min="54" max="54" width="17.140625" style="64" customWidth="1"/>
    <col min="55" max="55" width="18.140625" style="64" customWidth="1"/>
    <col min="56" max="56" width="14.5703125" style="64" customWidth="1"/>
    <col min="57" max="57" width="15.7109375" style="64" customWidth="1"/>
    <col min="58" max="58" width="18" style="64" customWidth="1"/>
    <col min="59" max="59" width="17.140625" style="64" customWidth="1"/>
    <col min="60" max="60" width="18.140625" style="64" customWidth="1"/>
    <col min="61" max="61" width="14.5703125" style="64" customWidth="1"/>
    <col min="62" max="62" width="15.7109375" style="64" customWidth="1"/>
    <col min="63" max="63" width="18" style="64" customWidth="1"/>
    <col min="64" max="64" width="17.140625" style="64" customWidth="1"/>
    <col min="65" max="65" width="18.140625" style="64" customWidth="1"/>
    <col min="66" max="66" width="14.5703125" style="64" customWidth="1"/>
    <col min="67" max="67" width="15.7109375" style="64" customWidth="1"/>
    <col min="68" max="16384" width="9.140625" style="64"/>
  </cols>
  <sheetData>
    <row r="1" spans="1:47">
      <c r="A1" s="338"/>
      <c r="B1" s="16" t="s">
        <v>225</v>
      </c>
    </row>
    <row r="2" spans="1:47">
      <c r="B2" s="64" t="s">
        <v>359</v>
      </c>
    </row>
    <row r="5" spans="1:47">
      <c r="B5" s="171" t="s">
        <v>352</v>
      </c>
      <c r="C5" s="534">
        <f>Inputs!B33</f>
        <v>16.600000000000001</v>
      </c>
    </row>
    <row r="6" spans="1:47">
      <c r="B6" s="172" t="s">
        <v>102</v>
      </c>
      <c r="C6" s="535">
        <f>Inputs!B35</f>
        <v>1.67</v>
      </c>
    </row>
    <row r="7" spans="1:47">
      <c r="B7" s="173" t="s">
        <v>2</v>
      </c>
      <c r="C7" s="535">
        <f>Inputs!$B$14</f>
        <v>300</v>
      </c>
    </row>
    <row r="8" spans="1:47" ht="30">
      <c r="B8" s="523" t="s">
        <v>827</v>
      </c>
      <c r="C8" s="536">
        <v>0.3</v>
      </c>
    </row>
    <row r="9" spans="1:47" ht="30">
      <c r="B9" s="172" t="s">
        <v>826</v>
      </c>
      <c r="C9" s="522">
        <v>3</v>
      </c>
    </row>
    <row r="10" spans="1:47">
      <c r="B10" s="174"/>
      <c r="C10" s="81"/>
    </row>
    <row r="11" spans="1:47">
      <c r="B11" s="174"/>
      <c r="C11" s="81"/>
    </row>
    <row r="12" spans="1:47">
      <c r="B12" s="174" t="s">
        <v>4</v>
      </c>
      <c r="C12" s="81">
        <f>Inputs!B10</f>
        <v>2020</v>
      </c>
    </row>
    <row r="14" spans="1:4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T14" s="2"/>
      <c r="AU14" s="2"/>
    </row>
    <row r="15" spans="1:47" ht="15.75" thickBot="1">
      <c r="B15" s="1"/>
      <c r="C15" s="1"/>
      <c r="D15" s="673" t="s">
        <v>486</v>
      </c>
      <c r="E15" s="673"/>
      <c r="F15" s="2">
        <f>Inputs!$B$3</f>
        <v>7.0000000000000007E-2</v>
      </c>
      <c r="G15" s="2">
        <f>Inputs!$B$4</f>
        <v>0.03</v>
      </c>
    </row>
    <row r="16" spans="1:47" ht="51">
      <c r="A16" s="75" t="s">
        <v>147</v>
      </c>
      <c r="B16" s="254" t="s">
        <v>0</v>
      </c>
      <c r="C16" s="3" t="s">
        <v>338</v>
      </c>
      <c r="D16" s="35" t="s">
        <v>263</v>
      </c>
      <c r="E16" s="4" t="s">
        <v>101</v>
      </c>
      <c r="F16" s="5" t="s">
        <v>264</v>
      </c>
      <c r="G16" s="5" t="s">
        <v>265</v>
      </c>
    </row>
    <row r="17" spans="1:7" ht="14.45" customHeight="1">
      <c r="A17" s="512">
        <f>IF((B17&gt;(Inputs!$B$7+Inputs!$B$8)),0,IF((B17&lt;Inputs!$B$7),0,((B17-Inputs!$B$7))))</f>
        <v>0</v>
      </c>
      <c r="B17" s="255">
        <v>2018</v>
      </c>
      <c r="C17" s="256"/>
      <c r="D17" s="257"/>
      <c r="E17" s="258">
        <v>0</v>
      </c>
      <c r="F17" s="258">
        <f t="shared" ref="F17:G36" si="0">ROUND($E17/((1+F$15)^($B17-$C$12)),0)</f>
        <v>0</v>
      </c>
      <c r="G17" s="259">
        <f t="shared" si="0"/>
        <v>0</v>
      </c>
    </row>
    <row r="18" spans="1:7" ht="14.45" customHeight="1">
      <c r="A18" s="512">
        <f>IF((B18&gt;(Inputs!$B$7+Inputs!$B$8)),0,IF((B18&lt;Inputs!$B$7),0,((B18-Inputs!$B$7))))</f>
        <v>0</v>
      </c>
      <c r="B18" s="255">
        <f>B17+1</f>
        <v>2019</v>
      </c>
      <c r="C18" s="260">
        <f>Traffic_related_data!$D46*$C$6*$C$7*$C$8</f>
        <v>2964218.8544999994</v>
      </c>
      <c r="D18" s="261">
        <f>IF(($A18&gt;0),C18*($C$9/60),0)</f>
        <v>0</v>
      </c>
      <c r="E18" s="262">
        <f>D18*$C$5</f>
        <v>0</v>
      </c>
      <c r="F18" s="258">
        <f t="shared" si="0"/>
        <v>0</v>
      </c>
      <c r="G18" s="259">
        <f t="shared" si="0"/>
        <v>0</v>
      </c>
    </row>
    <row r="19" spans="1:7">
      <c r="A19" s="512">
        <f>IF((B19&gt;(Inputs!$B$7+Inputs!$B$8)),0,IF((B19&lt;Inputs!$B$7),0,((B19-Inputs!$B$7))))</f>
        <v>0</v>
      </c>
      <c r="B19" s="255">
        <f t="shared" ref="B19:B59" si="1">B18+1</f>
        <v>2020</v>
      </c>
      <c r="C19" s="260">
        <f>Traffic_related_data!$D47*$C$6*$C$7*$C$8</f>
        <v>2998846.4475741419</v>
      </c>
      <c r="D19" s="261">
        <f t="shared" ref="D19:D59" si="2">IF(($A19&gt;0),C19*($C$9/60),0)</f>
        <v>0</v>
      </c>
      <c r="E19" s="262">
        <f t="shared" ref="E19:E59" si="3">D19*$C$5</f>
        <v>0</v>
      </c>
      <c r="F19" s="258">
        <f t="shared" si="0"/>
        <v>0</v>
      </c>
      <c r="G19" s="259">
        <f t="shared" si="0"/>
        <v>0</v>
      </c>
    </row>
    <row r="20" spans="1:7">
      <c r="A20" s="512">
        <f>IF((B20&gt;(Inputs!$B$7+Inputs!$B$8)),0,IF((B20&lt;Inputs!$B$7),0,((B20-Inputs!$B$7))))</f>
        <v>0</v>
      </c>
      <c r="B20" s="255">
        <f t="shared" si="1"/>
        <v>2021</v>
      </c>
      <c r="C20" s="260">
        <f>Traffic_related_data!$D48*$C$6*$C$7*$C$8</f>
        <v>3033878.5553825074</v>
      </c>
      <c r="D20" s="261">
        <f t="shared" si="2"/>
        <v>0</v>
      </c>
      <c r="E20" s="262">
        <f t="shared" si="3"/>
        <v>0</v>
      </c>
      <c r="F20" s="258">
        <f t="shared" si="0"/>
        <v>0</v>
      </c>
      <c r="G20" s="259">
        <f t="shared" si="0"/>
        <v>0</v>
      </c>
    </row>
    <row r="21" spans="1:7">
      <c r="A21" s="512">
        <f>IF((B21&gt;(Inputs!$B$7+Inputs!$B$8)),0,IF((B21&lt;Inputs!$B$7),0,((B21-Inputs!$B$7))))</f>
        <v>0</v>
      </c>
      <c r="B21" s="255">
        <f t="shared" si="1"/>
        <v>2022</v>
      </c>
      <c r="C21" s="260">
        <f>Traffic_related_data!$D49*$C$6*$C$7*$C$8</f>
        <v>3069319.9034100543</v>
      </c>
      <c r="D21" s="261">
        <f t="shared" si="2"/>
        <v>0</v>
      </c>
      <c r="E21" s="262">
        <f t="shared" si="3"/>
        <v>0</v>
      </c>
      <c r="F21" s="258">
        <f t="shared" si="0"/>
        <v>0</v>
      </c>
      <c r="G21" s="259">
        <f t="shared" si="0"/>
        <v>0</v>
      </c>
    </row>
    <row r="22" spans="1:7">
      <c r="A22" s="512">
        <f>IF((B22&gt;(Inputs!$B$7+Inputs!$B$8)),0,IF((B22&lt;Inputs!$B$7),0,((B22-Inputs!$B$7))))</f>
        <v>0</v>
      </c>
      <c r="B22" s="255">
        <f t="shared" si="1"/>
        <v>2023</v>
      </c>
      <c r="C22" s="260">
        <f>Traffic_related_data!$D50*$C$6*$C$7*$C$8</f>
        <v>3105175.2723441999</v>
      </c>
      <c r="D22" s="261">
        <f t="shared" si="2"/>
        <v>0</v>
      </c>
      <c r="E22" s="262">
        <f t="shared" si="3"/>
        <v>0</v>
      </c>
      <c r="F22" s="258">
        <f t="shared" si="0"/>
        <v>0</v>
      </c>
      <c r="G22" s="259">
        <f t="shared" si="0"/>
        <v>0</v>
      </c>
    </row>
    <row r="23" spans="1:7">
      <c r="A23" s="512">
        <f>IF((B23&gt;(Inputs!$B$7+Inputs!$B$8)),0,IF((B23&lt;Inputs!$B$7),0,((B23-Inputs!$B$7))))</f>
        <v>0</v>
      </c>
      <c r="B23" s="255">
        <f t="shared" si="1"/>
        <v>2024</v>
      </c>
      <c r="C23" s="260">
        <f>Traffic_related_data!$D51*$C$6*$C$7*$C$8</f>
        <v>3141449.498719688</v>
      </c>
      <c r="D23" s="261">
        <f t="shared" si="2"/>
        <v>0</v>
      </c>
      <c r="E23" s="262">
        <f t="shared" si="3"/>
        <v>0</v>
      </c>
      <c r="F23" s="258">
        <f t="shared" si="0"/>
        <v>0</v>
      </c>
      <c r="G23" s="259">
        <f t="shared" si="0"/>
        <v>0</v>
      </c>
    </row>
    <row r="24" spans="1:7">
      <c r="A24" s="512">
        <f>IF((B24&gt;(Inputs!$B$7+Inputs!$B$8)),0,IF((B24&lt;Inputs!$B$7),0,((B24-Inputs!$B$7))))</f>
        <v>0</v>
      </c>
      <c r="B24" s="255">
        <f t="shared" si="1"/>
        <v>2025</v>
      </c>
      <c r="C24" s="260">
        <f>Traffic_related_data!$D52*$C$6*$C$7*$C$8</f>
        <v>3178147.4755709902</v>
      </c>
      <c r="D24" s="261">
        <f t="shared" si="2"/>
        <v>0</v>
      </c>
      <c r="E24" s="262">
        <f t="shared" si="3"/>
        <v>0</v>
      </c>
      <c r="F24" s="258">
        <f t="shared" si="0"/>
        <v>0</v>
      </c>
      <c r="G24" s="259">
        <f t="shared" si="0"/>
        <v>0</v>
      </c>
    </row>
    <row r="25" spans="1:7">
      <c r="A25" s="512">
        <f>IF((B25&gt;(Inputs!$B$7+Inputs!$B$8)),0,IF((B25&lt;Inputs!$B$7),0,((B25-Inputs!$B$7))))</f>
        <v>1</v>
      </c>
      <c r="B25" s="255">
        <f t="shared" si="1"/>
        <v>2026</v>
      </c>
      <c r="C25" s="260">
        <f>Traffic_related_data!$D53*$C$6*$C$7*$C$8</f>
        <v>3215274.1530923247</v>
      </c>
      <c r="D25" s="261">
        <f t="shared" si="2"/>
        <v>160763.70765461624</v>
      </c>
      <c r="E25" s="262">
        <f t="shared" si="3"/>
        <v>2668677.5470666299</v>
      </c>
      <c r="F25" s="258">
        <f t="shared" si="0"/>
        <v>1778253</v>
      </c>
      <c r="G25" s="259">
        <f t="shared" si="0"/>
        <v>2234975</v>
      </c>
    </row>
    <row r="26" spans="1:7">
      <c r="A26" s="512">
        <f>IF((B26&gt;(Inputs!$B$7+Inputs!$B$8)),0,IF((B26&lt;Inputs!$B$7),0,((B26-Inputs!$B$7))))</f>
        <v>2</v>
      </c>
      <c r="B26" s="255">
        <f t="shared" si="1"/>
        <v>2027</v>
      </c>
      <c r="C26" s="260">
        <f>Traffic_related_data!$D54*$C$6*$C$7*$C$8</f>
        <v>3252834.5393053968</v>
      </c>
      <c r="D26" s="261">
        <f t="shared" si="2"/>
        <v>162641.72696526986</v>
      </c>
      <c r="E26" s="262">
        <f t="shared" si="3"/>
        <v>2699852.6676234799</v>
      </c>
      <c r="F26" s="258">
        <f t="shared" si="0"/>
        <v>1681333</v>
      </c>
      <c r="G26" s="259">
        <f t="shared" si="0"/>
        <v>2195227</v>
      </c>
    </row>
    <row r="27" spans="1:7">
      <c r="A27" s="512">
        <f>IF((B27&gt;(Inputs!$B$7+Inputs!$B$8)),0,IF((B27&lt;Inputs!$B$7),0,((B27-Inputs!$B$7))))</f>
        <v>3</v>
      </c>
      <c r="B27" s="255">
        <f t="shared" si="1"/>
        <v>2028</v>
      </c>
      <c r="C27" s="260">
        <f>Traffic_related_data!$D55*$C$6*$C$7*$C$8</f>
        <v>3290833.7007349194</v>
      </c>
      <c r="D27" s="261">
        <f t="shared" si="2"/>
        <v>164541.68503674597</v>
      </c>
      <c r="E27" s="262">
        <f>D27*$C$5</f>
        <v>2731391.9716099831</v>
      </c>
      <c r="F27" s="258">
        <f t="shared" si="0"/>
        <v>1589695</v>
      </c>
      <c r="G27" s="259">
        <f t="shared" si="0"/>
        <v>2156186</v>
      </c>
    </row>
    <row r="28" spans="1:7">
      <c r="A28" s="512">
        <f>IF((B28&gt;(Inputs!$B$7+Inputs!$B$8)),0,IF((B28&lt;Inputs!$B$7),0,((B28-Inputs!$B$7))))</f>
        <v>4</v>
      </c>
      <c r="B28" s="255">
        <f t="shared" si="1"/>
        <v>2029</v>
      </c>
      <c r="C28" s="260">
        <f>Traffic_related_data!$D56*$C$6*$C$7*$C$8</f>
        <v>3329276.7630920485</v>
      </c>
      <c r="D28" s="261">
        <f t="shared" si="2"/>
        <v>166463.83815460245</v>
      </c>
      <c r="E28" s="262">
        <f t="shared" si="3"/>
        <v>2763299.7133664009</v>
      </c>
      <c r="F28" s="258">
        <f t="shared" si="0"/>
        <v>1503052</v>
      </c>
      <c r="G28" s="259">
        <f t="shared" si="0"/>
        <v>2117839</v>
      </c>
    </row>
    <row r="29" spans="1:7">
      <c r="A29" s="512">
        <f>IF((B29&gt;(Inputs!$B$7+Inputs!$B$8)),0,IF((B29&lt;Inputs!$B$7),0,((B29-Inputs!$B$7))))</f>
        <v>5</v>
      </c>
      <c r="B29" s="255">
        <f t="shared" si="1"/>
        <v>2030</v>
      </c>
      <c r="C29" s="260">
        <f>Traffic_related_data!$D57*$C$6*$C$7*$C$8</f>
        <v>3368168.9119657846</v>
      </c>
      <c r="D29" s="261">
        <f t="shared" si="2"/>
        <v>168408.44559828925</v>
      </c>
      <c r="E29" s="262">
        <f t="shared" si="3"/>
        <v>2795580.196931602</v>
      </c>
      <c r="F29" s="258">
        <f t="shared" si="0"/>
        <v>1421131</v>
      </c>
      <c r="G29" s="259">
        <f t="shared" si="0"/>
        <v>2080174</v>
      </c>
    </row>
    <row r="30" spans="1:7">
      <c r="A30" s="512">
        <f>IF((B30&gt;(Inputs!$B$7+Inputs!$B$8)),0,IF((B30&lt;Inputs!$B$7),0,((B30-Inputs!$B$7))))</f>
        <v>6</v>
      </c>
      <c r="B30" s="255">
        <f t="shared" si="1"/>
        <v>2031</v>
      </c>
      <c r="C30" s="260">
        <f>Traffic_related_data!$D58*$C$6*$C$7*$C$8</f>
        <v>3407515.3935224577</v>
      </c>
      <c r="D30" s="261">
        <f t="shared" si="2"/>
        <v>170375.7696761229</v>
      </c>
      <c r="E30" s="262">
        <f t="shared" si="3"/>
        <v>2828237.7766236402</v>
      </c>
      <c r="F30" s="258">
        <f t="shared" si="0"/>
        <v>1343675</v>
      </c>
      <c r="G30" s="259">
        <f t="shared" si="0"/>
        <v>2043179</v>
      </c>
    </row>
    <row r="31" spans="1:7">
      <c r="A31" s="512">
        <f>IF((B31&gt;(Inputs!$B$7+Inputs!$B$8)),0,IF((B31&lt;Inputs!$B$7),0,((B31-Inputs!$B$7))))</f>
        <v>7</v>
      </c>
      <c r="B31" s="255">
        <f t="shared" si="1"/>
        <v>2032</v>
      </c>
      <c r="C31" s="260">
        <f>Traffic_related_data!$D59*$C$6*$C$7*$C$8</f>
        <v>3447321.5152133852</v>
      </c>
      <c r="D31" s="261">
        <f t="shared" si="2"/>
        <v>172366.07576066928</v>
      </c>
      <c r="E31" s="262">
        <f t="shared" si="3"/>
        <v>2861276.8576271101</v>
      </c>
      <c r="F31" s="258">
        <f t="shared" si="0"/>
        <v>1270441</v>
      </c>
      <c r="G31" s="259">
        <f t="shared" si="0"/>
        <v>2006842</v>
      </c>
    </row>
    <row r="32" spans="1:7">
      <c r="A32" s="512">
        <f>IF((B32&gt;(Inputs!$B$7+Inputs!$B$8)),0,IF((B32&lt;Inputs!$B$7),0,((B32-Inputs!$B$7))))</f>
        <v>8</v>
      </c>
      <c r="B32" s="255">
        <f t="shared" si="1"/>
        <v>2033</v>
      </c>
      <c r="C32" s="260">
        <f>Traffic_related_data!$D60*$C$6*$C$7*$C$8</f>
        <v>3487592.6464907955</v>
      </c>
      <c r="D32" s="261">
        <f t="shared" si="2"/>
        <v>174379.63232453979</v>
      </c>
      <c r="E32" s="262">
        <f t="shared" si="3"/>
        <v>2894701.8965873607</v>
      </c>
      <c r="F32" s="258">
        <f t="shared" si="0"/>
        <v>1201198</v>
      </c>
      <c r="G32" s="259">
        <f t="shared" si="0"/>
        <v>1971151</v>
      </c>
    </row>
    <row r="33" spans="1:7">
      <c r="A33" s="512">
        <f>IF((B33&gt;(Inputs!$B$7+Inputs!$B$8)),0,IF((B33&lt;Inputs!$B$7),0,((B33-Inputs!$B$7))))</f>
        <v>9</v>
      </c>
      <c r="B33" s="255">
        <f t="shared" si="1"/>
        <v>2034</v>
      </c>
      <c r="C33" s="260">
        <f>Traffic_related_data!$D61*$C$6*$C$7*$C$8</f>
        <v>3528334.2195321098</v>
      </c>
      <c r="D33" s="261">
        <f t="shared" si="2"/>
        <v>176416.71097660551</v>
      </c>
      <c r="E33" s="262">
        <f t="shared" si="3"/>
        <v>2928517.4022116517</v>
      </c>
      <c r="F33" s="258">
        <f t="shared" si="0"/>
        <v>1135730</v>
      </c>
      <c r="G33" s="259">
        <f t="shared" si="0"/>
        <v>1936095</v>
      </c>
    </row>
    <row r="34" spans="1:7">
      <c r="A34" s="512">
        <f>IF((B34&gt;(Inputs!$B$7+Inputs!$B$8)),0,IF((B34&lt;Inputs!$B$7),0,((B34-Inputs!$B$7))))</f>
        <v>10</v>
      </c>
      <c r="B34" s="255">
        <f t="shared" si="1"/>
        <v>2035</v>
      </c>
      <c r="C34" s="260">
        <f>Traffic_related_data!$D62*$C$6*$C$7*$C$8</f>
        <v>3569551.7299726931</v>
      </c>
      <c r="D34" s="261">
        <f t="shared" si="2"/>
        <v>178477.58649863466</v>
      </c>
      <c r="E34" s="262">
        <f t="shared" si="3"/>
        <v>2962727.9358773357</v>
      </c>
      <c r="F34" s="258">
        <f t="shared" si="0"/>
        <v>1073829</v>
      </c>
      <c r="G34" s="259">
        <f t="shared" si="0"/>
        <v>1901662</v>
      </c>
    </row>
    <row r="35" spans="1:7">
      <c r="A35" s="512">
        <f>IF((B35&gt;(Inputs!$B$7+Inputs!$B$8)),0,IF((B35&lt;Inputs!$B$7),0,((B35-Inputs!$B$7))))</f>
        <v>11</v>
      </c>
      <c r="B35" s="255">
        <f t="shared" si="1"/>
        <v>2036</v>
      </c>
      <c r="C35" s="260">
        <f>Traffic_related_data!$D63*$C$6*$C$7*$C$8</f>
        <v>3611250.73764716</v>
      </c>
      <c r="D35" s="261">
        <f t="shared" si="2"/>
        <v>180562.53688235802</v>
      </c>
      <c r="E35" s="262">
        <f t="shared" si="3"/>
        <v>2997338.1122471434</v>
      </c>
      <c r="F35" s="258">
        <f t="shared" si="0"/>
        <v>1015302</v>
      </c>
      <c r="G35" s="259">
        <f t="shared" si="0"/>
        <v>1867842</v>
      </c>
    </row>
    <row r="36" spans="1:7">
      <c r="A36" s="512">
        <f>IF((B36&gt;(Inputs!$B$7+Inputs!$B$8)),0,IF((B36&lt;Inputs!$B$7),0,((B36-Inputs!$B$7))))</f>
        <v>12</v>
      </c>
      <c r="B36" s="255">
        <f t="shared" si="1"/>
        <v>2037</v>
      </c>
      <c r="C36" s="260">
        <f>Traffic_related_data!$D64*$C$6*$C$7*$C$8</f>
        <v>3653436.8673393396</v>
      </c>
      <c r="D36" s="261">
        <f t="shared" si="2"/>
        <v>182671.84336696699</v>
      </c>
      <c r="E36" s="262">
        <f t="shared" si="3"/>
        <v>3032352.5998916524</v>
      </c>
      <c r="F36" s="258">
        <f t="shared" si="0"/>
        <v>959965</v>
      </c>
      <c r="G36" s="259">
        <f t="shared" si="0"/>
        <v>1834623</v>
      </c>
    </row>
    <row r="37" spans="1:7">
      <c r="A37" s="512">
        <f>IF((B37&gt;(Inputs!$B$7+Inputs!$B$8)),0,IF((B37&lt;Inputs!$B$7),0,((B37-Inputs!$B$7))))</f>
        <v>13</v>
      </c>
      <c r="B37" s="255">
        <f t="shared" si="1"/>
        <v>2038</v>
      </c>
      <c r="C37" s="260">
        <f>Traffic_related_data!$D65*$C$6*$C$7*$C$8</f>
        <v>3696115.8095410061</v>
      </c>
      <c r="D37" s="261">
        <f t="shared" si="2"/>
        <v>184805.79047705032</v>
      </c>
      <c r="E37" s="262">
        <f t="shared" si="3"/>
        <v>3067776.1219190354</v>
      </c>
      <c r="F37" s="258">
        <f t="shared" ref="F37:G59" si="4">ROUND($E37/((1+F$15)^($B37-$C$12)),0)</f>
        <v>907644</v>
      </c>
      <c r="G37" s="259">
        <f t="shared" si="4"/>
        <v>1801995</v>
      </c>
    </row>
    <row r="38" spans="1:7">
      <c r="A38" s="512">
        <f>IF((B38&gt;(Inputs!$B$7+Inputs!$B$8)),0,IF((B38&lt;Inputs!$B$7),0,((B38-Inputs!$B$7))))</f>
        <v>14</v>
      </c>
      <c r="B38" s="255">
        <f t="shared" si="1"/>
        <v>2039</v>
      </c>
      <c r="C38" s="260">
        <f>Traffic_related_data!$D66*$C$6*$C$7*$C$8</f>
        <v>3739293.3212194671</v>
      </c>
      <c r="D38" s="261">
        <f t="shared" si="2"/>
        <v>186964.66606097337</v>
      </c>
      <c r="E38" s="263">
        <f t="shared" si="3"/>
        <v>3103613.4566121581</v>
      </c>
      <c r="F38" s="264">
        <f t="shared" si="4"/>
        <v>858175</v>
      </c>
      <c r="G38" s="265">
        <f t="shared" si="4"/>
        <v>1769947</v>
      </c>
    </row>
    <row r="39" spans="1:7">
      <c r="A39" s="512">
        <f>IF((B39&gt;(Inputs!$B$7+Inputs!$B$8)),0,IF((B39&lt;Inputs!$B$7),0,((B39-Inputs!$B$7))))</f>
        <v>15</v>
      </c>
      <c r="B39" s="255">
        <f t="shared" si="1"/>
        <v>2040</v>
      </c>
      <c r="C39" s="260">
        <f>Traffic_related_data!$D67*$C$6*$C$7*$C$8</f>
        <v>3782975.2265941249</v>
      </c>
      <c r="D39" s="261">
        <f t="shared" si="2"/>
        <v>189148.76132970626</v>
      </c>
      <c r="E39" s="262">
        <f t="shared" si="3"/>
        <v>3139869.4380731243</v>
      </c>
      <c r="F39" s="258">
        <f t="shared" si="4"/>
        <v>811402</v>
      </c>
      <c r="G39" s="259">
        <f t="shared" si="4"/>
        <v>1738470</v>
      </c>
    </row>
    <row r="40" spans="1:7">
      <c r="A40" s="512">
        <f>IF((B40&gt;(Inputs!$B$7+Inputs!$B$8)),0,IF((B40&lt;Inputs!$B$7),0,((B40-Inputs!$B$7))))</f>
        <v>16</v>
      </c>
      <c r="B40" s="255">
        <f t="shared" si="1"/>
        <v>2041</v>
      </c>
      <c r="C40" s="260">
        <f>Traffic_related_data!$D68*$C$6*$C$7*$C$8</f>
        <v>3827167.4179221019</v>
      </c>
      <c r="D40" s="261">
        <f t="shared" si="2"/>
        <v>191358.3708961051</v>
      </c>
      <c r="E40" s="262">
        <f t="shared" si="3"/>
        <v>3176548.9568753447</v>
      </c>
      <c r="F40" s="258">
        <f t="shared" si="4"/>
        <v>767178</v>
      </c>
      <c r="G40" s="259">
        <f t="shared" si="4"/>
        <v>1707552</v>
      </c>
    </row>
    <row r="41" spans="1:7">
      <c r="A41" s="512">
        <f>IF((B41&gt;(Inputs!$B$7+Inputs!$B$8)),0,IF((B41&lt;Inputs!$B$7),0,((B41-Inputs!$B$7))))</f>
        <v>17</v>
      </c>
      <c r="B41" s="255">
        <f t="shared" si="1"/>
        <v>2042</v>
      </c>
      <c r="C41" s="260">
        <f>Traffic_related_data!$D69*$C$6*$C$7*$C$8</f>
        <v>3871875.856293052</v>
      </c>
      <c r="D41" s="261">
        <f t="shared" si="2"/>
        <v>193593.79281465261</v>
      </c>
      <c r="E41" s="262">
        <f t="shared" si="3"/>
        <v>3213656.9607232334</v>
      </c>
      <c r="F41" s="258">
        <f t="shared" si="4"/>
        <v>725365</v>
      </c>
      <c r="G41" s="259">
        <f t="shared" si="4"/>
        <v>1677183</v>
      </c>
    </row>
    <row r="42" spans="1:7">
      <c r="A42" s="512">
        <f>IF((B42&gt;(Inputs!$B$7+Inputs!$B$8)),0,IF((B42&lt;Inputs!$B$7),0,((B42-Inputs!$B$7))))</f>
        <v>18</v>
      </c>
      <c r="B42" s="255">
        <f t="shared" si="1"/>
        <v>2043</v>
      </c>
      <c r="C42" s="260">
        <f>Traffic_related_data!$D70*$C$6*$C$7*$C$8</f>
        <v>3917106.5724332496</v>
      </c>
      <c r="D42" s="261">
        <f t="shared" si="2"/>
        <v>195855.32862166248</v>
      </c>
      <c r="E42" s="262">
        <f t="shared" si="3"/>
        <v>3251198.4551195977</v>
      </c>
      <c r="F42" s="258">
        <f t="shared" si="4"/>
        <v>685830</v>
      </c>
      <c r="G42" s="259">
        <f t="shared" si="4"/>
        <v>1647355</v>
      </c>
    </row>
    <row r="43" spans="1:7">
      <c r="A43" s="512">
        <f>IF((B43&gt;(Inputs!$B$7+Inputs!$B$8)),0,IF((B43&lt;Inputs!$B$7),0,((B43-Inputs!$B$7))))</f>
        <v>19</v>
      </c>
      <c r="B43" s="255">
        <f t="shared" si="1"/>
        <v>2044</v>
      </c>
      <c r="C43" s="260">
        <f>Traffic_related_data!$D71*$C$6*$C$7*$C$8</f>
        <v>3962865.6675190763</v>
      </c>
      <c r="D43" s="261">
        <f t="shared" si="2"/>
        <v>198143.28337595382</v>
      </c>
      <c r="E43" s="262">
        <f t="shared" si="3"/>
        <v>3289178.5040408336</v>
      </c>
      <c r="F43" s="258">
        <f t="shared" si="4"/>
        <v>648450</v>
      </c>
      <c r="G43" s="259">
        <f t="shared" si="4"/>
        <v>1618058</v>
      </c>
    </row>
    <row r="44" spans="1:7">
      <c r="A44" s="512">
        <f>IF((B44&gt;(Inputs!$B$7+Inputs!$B$8)),0,IF((B44&lt;Inputs!$B$7),0,((B44-Inputs!$B$7))))</f>
        <v>20</v>
      </c>
      <c r="B44" s="255">
        <f t="shared" si="1"/>
        <v>2045</v>
      </c>
      <c r="C44" s="260">
        <f>Traffic_related_data!$D72*$C$6*$C$7*$C$8</f>
        <v>4009159.3140000086</v>
      </c>
      <c r="D44" s="261">
        <f t="shared" si="2"/>
        <v>200457.96570000044</v>
      </c>
      <c r="E44" s="262">
        <f t="shared" si="3"/>
        <v>3327602.2306200075</v>
      </c>
      <c r="F44" s="258">
        <f t="shared" si="4"/>
        <v>613108</v>
      </c>
      <c r="G44" s="259">
        <f t="shared" si="4"/>
        <v>1589281</v>
      </c>
    </row>
    <row r="45" spans="1:7">
      <c r="A45" s="512">
        <f>IF((B45&gt;(Inputs!$B$7+Inputs!$B$8)),0,IF((B45&lt;Inputs!$B$7),0,((B45-Inputs!$B$7))))</f>
        <v>21</v>
      </c>
      <c r="B45" s="255">
        <f t="shared" si="1"/>
        <v>2046</v>
      </c>
      <c r="C45" s="260">
        <f>Traffic_related_data!$D73*$C$6*$C$7*$C$8</f>
        <v>4009159.3139999993</v>
      </c>
      <c r="D45" s="261">
        <f t="shared" si="2"/>
        <v>200457.96569999997</v>
      </c>
      <c r="E45" s="262">
        <f t="shared" si="3"/>
        <v>3327602.2306199996</v>
      </c>
      <c r="F45" s="258">
        <f t="shared" si="4"/>
        <v>572998</v>
      </c>
      <c r="G45" s="259">
        <f t="shared" si="4"/>
        <v>1542992</v>
      </c>
    </row>
    <row r="46" spans="1:7">
      <c r="A46" s="512">
        <f>IF((B46&gt;(Inputs!$B$7+Inputs!$B$8)),0,IF((B46&lt;Inputs!$B$7),0,((B46-Inputs!$B$7))))</f>
        <v>22</v>
      </c>
      <c r="B46" s="255">
        <f t="shared" si="1"/>
        <v>2047</v>
      </c>
      <c r="C46" s="260">
        <f>Traffic_related_data!$D74*$C$6*$C$7*$C$8</f>
        <v>4009159.3139999993</v>
      </c>
      <c r="D46" s="261">
        <f t="shared" si="2"/>
        <v>200457.96569999997</v>
      </c>
      <c r="E46" s="262">
        <f t="shared" si="3"/>
        <v>3327602.2306199996</v>
      </c>
      <c r="F46" s="258">
        <f t="shared" si="4"/>
        <v>535512</v>
      </c>
      <c r="G46" s="259">
        <f t="shared" si="4"/>
        <v>1498050</v>
      </c>
    </row>
    <row r="47" spans="1:7">
      <c r="A47" s="512">
        <f>IF((B47&gt;(Inputs!$B$7+Inputs!$B$8)),0,IF((B47&lt;Inputs!$B$7),0,((B47-Inputs!$B$7))))</f>
        <v>23</v>
      </c>
      <c r="B47" s="255">
        <f t="shared" si="1"/>
        <v>2048</v>
      </c>
      <c r="C47" s="260">
        <f>Traffic_related_data!$D75*$C$6*$C$7*$C$8</f>
        <v>4009159.3139999993</v>
      </c>
      <c r="D47" s="261">
        <f t="shared" si="2"/>
        <v>200457.96569999997</v>
      </c>
      <c r="E47" s="262">
        <f t="shared" si="3"/>
        <v>3327602.2306199996</v>
      </c>
      <c r="F47" s="258">
        <f t="shared" si="4"/>
        <v>500479</v>
      </c>
      <c r="G47" s="259">
        <f t="shared" si="4"/>
        <v>1454418</v>
      </c>
    </row>
    <row r="48" spans="1:7">
      <c r="A48" s="512">
        <f>IF((B48&gt;(Inputs!$B$7+Inputs!$B$8)),0,IF((B48&lt;Inputs!$B$7),0,((B48-Inputs!$B$7))))</f>
        <v>24</v>
      </c>
      <c r="B48" s="255">
        <f t="shared" si="1"/>
        <v>2049</v>
      </c>
      <c r="C48" s="260">
        <f>Traffic_related_data!$D76*$C$6*$C$7*$C$8</f>
        <v>4009159.3139999993</v>
      </c>
      <c r="D48" s="261">
        <f t="shared" si="2"/>
        <v>200457.96569999997</v>
      </c>
      <c r="E48" s="262">
        <f t="shared" si="3"/>
        <v>3327602.2306199996</v>
      </c>
      <c r="F48" s="258">
        <f t="shared" si="4"/>
        <v>467737</v>
      </c>
      <c r="G48" s="259">
        <f t="shared" si="4"/>
        <v>1412056</v>
      </c>
    </row>
    <row r="49" spans="1:7">
      <c r="A49" s="512">
        <f>IF((B49&gt;(Inputs!$B$7+Inputs!$B$8)),0,IF((B49&lt;Inputs!$B$7),0,((B49-Inputs!$B$7))))</f>
        <v>25</v>
      </c>
      <c r="B49" s="255">
        <f t="shared" si="1"/>
        <v>2050</v>
      </c>
      <c r="C49" s="260">
        <f>Traffic_related_data!$D77*$C$6*$C$7*$C$8</f>
        <v>4009159.3139999993</v>
      </c>
      <c r="D49" s="261">
        <f t="shared" si="2"/>
        <v>200457.96569999997</v>
      </c>
      <c r="E49" s="262">
        <f t="shared" si="3"/>
        <v>3327602.2306199996</v>
      </c>
      <c r="F49" s="258">
        <f t="shared" si="4"/>
        <v>437138</v>
      </c>
      <c r="G49" s="259">
        <f t="shared" si="4"/>
        <v>1370928</v>
      </c>
    </row>
    <row r="50" spans="1:7">
      <c r="A50" s="512">
        <f>IF((B50&gt;(Inputs!$B$7+Inputs!$B$8)),0,IF((B50&lt;Inputs!$B$7),0,((B50-Inputs!$B$7))))</f>
        <v>26</v>
      </c>
      <c r="B50" s="255">
        <f t="shared" si="1"/>
        <v>2051</v>
      </c>
      <c r="C50" s="260">
        <f>Traffic_related_data!$D78*$C$6*$C$7*$C$8</f>
        <v>4009159.3139999993</v>
      </c>
      <c r="D50" s="261">
        <f t="shared" si="2"/>
        <v>200457.96569999997</v>
      </c>
      <c r="E50" s="262">
        <f t="shared" si="3"/>
        <v>3327602.2306199996</v>
      </c>
      <c r="F50" s="258">
        <f t="shared" si="4"/>
        <v>408540</v>
      </c>
      <c r="G50" s="259">
        <f t="shared" si="4"/>
        <v>1330998</v>
      </c>
    </row>
    <row r="51" spans="1:7">
      <c r="A51" s="512">
        <f>IF((B51&gt;(Inputs!$B$7+Inputs!$B$8)),0,IF((B51&lt;Inputs!$B$7),0,((B51-Inputs!$B$7))))</f>
        <v>27</v>
      </c>
      <c r="B51" s="255">
        <f t="shared" si="1"/>
        <v>2052</v>
      </c>
      <c r="C51" s="260">
        <f>Traffic_related_data!$D79*$C$6*$C$7*$C$8</f>
        <v>4009159.3139999993</v>
      </c>
      <c r="D51" s="261">
        <f t="shared" si="2"/>
        <v>200457.96569999997</v>
      </c>
      <c r="E51" s="262">
        <f t="shared" si="3"/>
        <v>3327602.2306199996</v>
      </c>
      <c r="F51" s="258">
        <f t="shared" si="4"/>
        <v>381813</v>
      </c>
      <c r="G51" s="259">
        <f t="shared" si="4"/>
        <v>1292231</v>
      </c>
    </row>
    <row r="52" spans="1:7">
      <c r="A52" s="512">
        <f>IF((B52&gt;(Inputs!$B$7+Inputs!$B$8)),0,IF((B52&lt;Inputs!$B$7),0,((B52-Inputs!$B$7))))</f>
        <v>28</v>
      </c>
      <c r="B52" s="255">
        <f t="shared" si="1"/>
        <v>2053</v>
      </c>
      <c r="C52" s="260">
        <f>Traffic_related_data!$D80*$C$6*$C$7*$C$8</f>
        <v>4009159.3139999993</v>
      </c>
      <c r="D52" s="261">
        <f t="shared" si="2"/>
        <v>200457.96569999997</v>
      </c>
      <c r="E52" s="262">
        <f t="shared" si="3"/>
        <v>3327602.2306199996</v>
      </c>
      <c r="F52" s="258">
        <f t="shared" si="4"/>
        <v>356834</v>
      </c>
      <c r="G52" s="259">
        <f t="shared" si="4"/>
        <v>1254593</v>
      </c>
    </row>
    <row r="53" spans="1:7">
      <c r="A53" s="512">
        <f>IF((B53&gt;(Inputs!$B$7+Inputs!$B$8)),0,IF((B53&lt;Inputs!$B$7),0,((B53-Inputs!$B$7))))</f>
        <v>29</v>
      </c>
      <c r="B53" s="255">
        <f t="shared" si="1"/>
        <v>2054</v>
      </c>
      <c r="C53" s="260">
        <f>Traffic_related_data!$D81*$C$6*$C$7*$C$8</f>
        <v>4009159.3139999993</v>
      </c>
      <c r="D53" s="261">
        <f t="shared" si="2"/>
        <v>200457.96569999997</v>
      </c>
      <c r="E53" s="262">
        <f t="shared" si="3"/>
        <v>3327602.2306199996</v>
      </c>
      <c r="F53" s="258">
        <f t="shared" si="4"/>
        <v>333490</v>
      </c>
      <c r="G53" s="259">
        <f t="shared" si="4"/>
        <v>1218052</v>
      </c>
    </row>
    <row r="54" spans="1:7">
      <c r="A54" s="512">
        <f>IF((B54&gt;(Inputs!$B$7+Inputs!$B$8)),0,IF((B54&lt;Inputs!$B$7),0,((B54-Inputs!$B$7))))</f>
        <v>30</v>
      </c>
      <c r="B54" s="255">
        <f t="shared" si="1"/>
        <v>2055</v>
      </c>
      <c r="C54" s="260">
        <f>Traffic_related_data!$D82*$C$6*$C$7*$C$8</f>
        <v>4009159.3139999993</v>
      </c>
      <c r="D54" s="261">
        <f t="shared" si="2"/>
        <v>200457.96569999997</v>
      </c>
      <c r="E54" s="262">
        <f t="shared" si="3"/>
        <v>3327602.2306199996</v>
      </c>
      <c r="F54" s="258">
        <f t="shared" si="4"/>
        <v>311673</v>
      </c>
      <c r="G54" s="259">
        <f t="shared" si="4"/>
        <v>1182575</v>
      </c>
    </row>
    <row r="55" spans="1:7">
      <c r="A55" s="512">
        <f>IF((B55&gt;(Inputs!$B$7+Inputs!$B$8)),0,IF((B55&lt;Inputs!$B$7),0,((B55-Inputs!$B$7))))</f>
        <v>0</v>
      </c>
      <c r="B55" s="255">
        <f t="shared" si="1"/>
        <v>2056</v>
      </c>
      <c r="C55" s="260">
        <f>Traffic_related_data!$D83*$C$6*$C$7*$C$8</f>
        <v>4009159.3139999993</v>
      </c>
      <c r="D55" s="261">
        <f t="shared" si="2"/>
        <v>0</v>
      </c>
      <c r="E55" s="262">
        <f t="shared" si="3"/>
        <v>0</v>
      </c>
      <c r="F55" s="258">
        <f t="shared" si="4"/>
        <v>0</v>
      </c>
      <c r="G55" s="259">
        <f t="shared" si="4"/>
        <v>0</v>
      </c>
    </row>
    <row r="56" spans="1:7">
      <c r="A56" s="512">
        <f>IF((B56&gt;(Inputs!$B$7+Inputs!$B$8)),0,IF((B56&lt;Inputs!$B$7),0,((B56-Inputs!$B$7))))</f>
        <v>0</v>
      </c>
      <c r="B56" s="255">
        <f t="shared" si="1"/>
        <v>2057</v>
      </c>
      <c r="C56" s="260">
        <f>Traffic_related_data!$D84*$C$6*$C$7*$C$8</f>
        <v>4009159.3139999993</v>
      </c>
      <c r="D56" s="261">
        <f t="shared" si="2"/>
        <v>0</v>
      </c>
      <c r="E56" s="262">
        <f t="shared" si="3"/>
        <v>0</v>
      </c>
      <c r="F56" s="258">
        <f t="shared" si="4"/>
        <v>0</v>
      </c>
      <c r="G56" s="259">
        <f t="shared" si="4"/>
        <v>0</v>
      </c>
    </row>
    <row r="57" spans="1:7">
      <c r="A57" s="512">
        <f>IF((B57&gt;(Inputs!$B$7+Inputs!$B$8)),0,IF((B57&lt;Inputs!$B$7),0,((B57-Inputs!$B$7))))</f>
        <v>0</v>
      </c>
      <c r="B57" s="255">
        <f t="shared" si="1"/>
        <v>2058</v>
      </c>
      <c r="C57" s="260">
        <f>Traffic_related_data!$D85*$C$6*$C$7*$C$8</f>
        <v>4009159.3139999993</v>
      </c>
      <c r="D57" s="261">
        <f t="shared" si="2"/>
        <v>0</v>
      </c>
      <c r="E57" s="262">
        <f t="shared" si="3"/>
        <v>0</v>
      </c>
      <c r="F57" s="258">
        <f t="shared" si="4"/>
        <v>0</v>
      </c>
      <c r="G57" s="259">
        <f t="shared" si="4"/>
        <v>0</v>
      </c>
    </row>
    <row r="58" spans="1:7">
      <c r="A58" s="512">
        <f>IF((B58&gt;(Inputs!$B$7+Inputs!$B$8)),0,IF((B58&lt;Inputs!$B$7),0,((B58-Inputs!$B$7))))</f>
        <v>0</v>
      </c>
      <c r="B58" s="255">
        <f t="shared" si="1"/>
        <v>2059</v>
      </c>
      <c r="C58" s="260">
        <f>Traffic_related_data!$D86*$C$6*$C$7*$C$8</f>
        <v>4009159.3139999993</v>
      </c>
      <c r="D58" s="261">
        <f t="shared" si="2"/>
        <v>0</v>
      </c>
      <c r="E58" s="262">
        <f t="shared" si="3"/>
        <v>0</v>
      </c>
      <c r="F58" s="258">
        <f t="shared" si="4"/>
        <v>0</v>
      </c>
      <c r="G58" s="259">
        <f t="shared" si="4"/>
        <v>0</v>
      </c>
    </row>
    <row r="59" spans="1:7" ht="15.75" thickBot="1">
      <c r="A59" s="512">
        <f>IF((B59&gt;(Inputs!$B$7+Inputs!$B$8)),0,IF((B59&lt;Inputs!$B$7),0,((B59-Inputs!$B$7))))</f>
        <v>0</v>
      </c>
      <c r="B59" s="255">
        <f t="shared" si="1"/>
        <v>2060</v>
      </c>
      <c r="C59" s="266">
        <f>Traffic_related_data!$D87*$C$6*$C$7*$C$8</f>
        <v>4009159.3139999993</v>
      </c>
      <c r="D59" s="267">
        <f t="shared" si="2"/>
        <v>0</v>
      </c>
      <c r="E59" s="268">
        <f t="shared" si="3"/>
        <v>0</v>
      </c>
      <c r="F59" s="269">
        <f t="shared" si="4"/>
        <v>0</v>
      </c>
      <c r="G59" s="270">
        <f t="shared" si="4"/>
        <v>0</v>
      </c>
    </row>
    <row r="61" spans="1:7">
      <c r="F61" s="135">
        <f>SUM(F22:F59)</f>
        <v>26296970</v>
      </c>
      <c r="G61" s="135">
        <f>SUM(G22:G59)</f>
        <v>51452529</v>
      </c>
    </row>
  </sheetData>
  <mergeCells count="1">
    <mergeCell ref="D15:E15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AFE45-A643-4E22-9B69-69DD2445B5D8}">
  <sheetPr>
    <tabColor theme="6" tint="-0.249977111117893"/>
  </sheetPr>
  <dimension ref="A1:O72"/>
  <sheetViews>
    <sheetView zoomScale="85" zoomScaleNormal="85" workbookViewId="0"/>
  </sheetViews>
  <sheetFormatPr defaultColWidth="9.140625" defaultRowHeight="15"/>
  <cols>
    <col min="1" max="1" width="9.140625" style="64"/>
    <col min="2" max="2" width="17.5703125" style="64" customWidth="1"/>
    <col min="3" max="3" width="15.85546875" style="64" customWidth="1"/>
    <col min="4" max="4" width="13.140625" style="64" customWidth="1"/>
    <col min="5" max="5" width="15.42578125" style="64" customWidth="1"/>
    <col min="6" max="6" width="14" style="64" customWidth="1"/>
    <col min="7" max="12" width="9.140625" style="64"/>
    <col min="13" max="13" width="15.85546875" style="64" customWidth="1"/>
    <col min="14" max="14" width="12.7109375" style="64" customWidth="1"/>
    <col min="15" max="15" width="14" style="64" customWidth="1"/>
    <col min="16" max="16384" width="9.140625" style="64"/>
  </cols>
  <sheetData>
    <row r="1" spans="2:15">
      <c r="B1" s="64" t="s">
        <v>507</v>
      </c>
      <c r="L1" s="446"/>
    </row>
    <row r="2" spans="2:15">
      <c r="B2" s="64" t="s">
        <v>508</v>
      </c>
      <c r="C2" s="447">
        <v>10.37</v>
      </c>
      <c r="D2" s="64" t="s">
        <v>509</v>
      </c>
      <c r="L2" s="446"/>
    </row>
    <row r="3" spans="2:15">
      <c r="B3" s="64" t="s">
        <v>510</v>
      </c>
      <c r="L3" s="446"/>
    </row>
    <row r="4" spans="2:15">
      <c r="B4" s="15" t="s">
        <v>535</v>
      </c>
      <c r="L4" s="446"/>
    </row>
    <row r="7" spans="2:15" ht="30">
      <c r="B7" s="448" t="s">
        <v>511</v>
      </c>
      <c r="C7" s="448" t="s">
        <v>512</v>
      </c>
      <c r="D7" s="448" t="s">
        <v>513</v>
      </c>
      <c r="E7" s="448" t="s">
        <v>640</v>
      </c>
      <c r="F7" s="448"/>
      <c r="G7" s="448"/>
      <c r="H7" s="448"/>
      <c r="I7" s="448"/>
      <c r="J7" s="448"/>
      <c r="K7" s="448"/>
    </row>
    <row r="8" spans="2:15" s="448" customFormat="1">
      <c r="B8" s="64" t="s">
        <v>536</v>
      </c>
      <c r="C8" s="64">
        <v>3784</v>
      </c>
      <c r="D8" s="460">
        <f>VLOOKUP(B8,PopProjections3!$A$5:$E$104,5,FALSE)</f>
        <v>0</v>
      </c>
      <c r="E8" s="460">
        <f>VLOOKUP(B8,PopProjections4!A5:E105,5,FALSE)</f>
        <v>0</v>
      </c>
      <c r="F8" s="64"/>
      <c r="G8" s="64"/>
      <c r="H8" s="64"/>
      <c r="I8" s="64"/>
      <c r="J8" s="64"/>
      <c r="K8" s="64"/>
    </row>
    <row r="9" spans="2:15">
      <c r="N9" s="449"/>
      <c r="O9" s="449"/>
    </row>
    <row r="13" spans="2:15">
      <c r="D13" s="449"/>
      <c r="E13" s="449"/>
    </row>
    <row r="14" spans="2:15">
      <c r="C14" s="64" t="s">
        <v>523</v>
      </c>
      <c r="D14" s="449" t="s">
        <v>523</v>
      </c>
      <c r="E14" s="449"/>
      <c r="N14" s="449"/>
      <c r="O14" s="449"/>
    </row>
    <row r="15" spans="2:15">
      <c r="C15" s="64" t="s">
        <v>525</v>
      </c>
      <c r="D15" s="64" t="s">
        <v>526</v>
      </c>
    </row>
    <row r="16" spans="2:15">
      <c r="C16" s="64" t="s">
        <v>528</v>
      </c>
      <c r="D16" s="15" t="s">
        <v>641</v>
      </c>
    </row>
    <row r="17" spans="1:6">
      <c r="C17" s="64" t="s">
        <v>530</v>
      </c>
    </row>
    <row r="19" spans="1:6">
      <c r="C19" s="17"/>
      <c r="E19" s="18">
        <f>Inputs!B3</f>
        <v>7.0000000000000007E-2</v>
      </c>
      <c r="F19" s="18">
        <f>Inputs!B4</f>
        <v>0.03</v>
      </c>
    </row>
    <row r="20" spans="1:6" ht="45">
      <c r="A20" s="75" t="s">
        <v>147</v>
      </c>
      <c r="B20" s="450" t="s">
        <v>0</v>
      </c>
      <c r="C20" s="451" t="s">
        <v>532</v>
      </c>
      <c r="D20" s="450" t="s">
        <v>508</v>
      </c>
      <c r="E20" s="450" t="s">
        <v>533</v>
      </c>
      <c r="F20" s="450" t="s">
        <v>534</v>
      </c>
    </row>
    <row r="21" spans="1:6" hidden="1">
      <c r="A21" s="64">
        <f>IF((B21&gt;(Inputs!$B$7+Inputs!$B$8)),0,IF((B21&lt;Inputs!$B$7),0,((B21-Inputs!$B$7))))</f>
        <v>0</v>
      </c>
      <c r="B21" s="65">
        <v>2010</v>
      </c>
      <c r="C21" s="452">
        <f>SUM(C8:C12)</f>
        <v>3784</v>
      </c>
      <c r="D21" s="461">
        <f>IF((A21&gt;0),(C21*$C$2),0)</f>
        <v>0</v>
      </c>
      <c r="E21" s="461">
        <f>D21/((1+Inputs!$B$3)^($B21-Inputs!$B$10))</f>
        <v>0</v>
      </c>
      <c r="F21" s="461">
        <f>D21/((1+Inputs!$B$4)^($B21-Inputs!$B$10))</f>
        <v>0</v>
      </c>
    </row>
    <row r="22" spans="1:6" hidden="1">
      <c r="A22" s="64">
        <f>IF((B22&gt;(Inputs!$B$7+Inputs!$B$8)),0,IF((B22&lt;Inputs!$B$7),0,((B22-Inputs!$B$7))))</f>
        <v>0</v>
      </c>
      <c r="B22" s="65">
        <v>2011</v>
      </c>
      <c r="C22" s="452">
        <f t="shared" ref="C22:C40" si="0">C21*(1+$D$13)</f>
        <v>3784</v>
      </c>
      <c r="D22" s="461">
        <f t="shared" ref="D22:D71" si="1">IF((A22&gt;0),(C22*$C$2),0)</f>
        <v>0</v>
      </c>
      <c r="E22" s="461">
        <f>D22/((1+Inputs!$B$3)^($B22-Inputs!$B$10))</f>
        <v>0</v>
      </c>
      <c r="F22" s="461">
        <f>D22/((1+Inputs!$B$4)^($B22-Inputs!$B$10))</f>
        <v>0</v>
      </c>
    </row>
    <row r="23" spans="1:6" hidden="1">
      <c r="A23" s="64">
        <f>IF((B23&gt;(Inputs!$B$7+Inputs!$B$8)),0,IF((B23&lt;Inputs!$B$7),0,((B23-Inputs!$B$7))))</f>
        <v>0</v>
      </c>
      <c r="B23" s="65">
        <v>2012</v>
      </c>
      <c r="C23" s="452">
        <f t="shared" si="0"/>
        <v>3784</v>
      </c>
      <c r="D23" s="461">
        <f t="shared" si="1"/>
        <v>0</v>
      </c>
      <c r="E23" s="461">
        <f>D23/((1+Inputs!$B$3)^($B23-Inputs!$B$10))</f>
        <v>0</v>
      </c>
      <c r="F23" s="461">
        <f>D23/((1+Inputs!$B$4)^($B23-Inputs!$B$10))</f>
        <v>0</v>
      </c>
    </row>
    <row r="24" spans="1:6" hidden="1">
      <c r="A24" s="64">
        <f>IF((B24&gt;(Inputs!$B$7+Inputs!$B$8)),0,IF((B24&lt;Inputs!$B$7),0,((B24-Inputs!$B$7))))</f>
        <v>0</v>
      </c>
      <c r="B24" s="65">
        <v>2013</v>
      </c>
      <c r="C24" s="452">
        <f t="shared" si="0"/>
        <v>3784</v>
      </c>
      <c r="D24" s="461">
        <f t="shared" si="1"/>
        <v>0</v>
      </c>
      <c r="E24" s="461">
        <f>D24/((1+Inputs!$B$3)^($B24-Inputs!$B$10))</f>
        <v>0</v>
      </c>
      <c r="F24" s="461">
        <f>D24/((1+Inputs!$B$4)^($B24-Inputs!$B$10))</f>
        <v>0</v>
      </c>
    </row>
    <row r="25" spans="1:6" hidden="1">
      <c r="A25" s="64">
        <f>IF((B25&gt;(Inputs!$B$7+Inputs!$B$8)),0,IF((B25&lt;Inputs!$B$7),0,((B25-Inputs!$B$7))))</f>
        <v>0</v>
      </c>
      <c r="B25" s="65">
        <v>2014</v>
      </c>
      <c r="C25" s="452">
        <f t="shared" si="0"/>
        <v>3784</v>
      </c>
      <c r="D25" s="461">
        <f t="shared" si="1"/>
        <v>0</v>
      </c>
      <c r="E25" s="461">
        <f>D25/((1+Inputs!$B$3)^($B25-Inputs!$B$10))</f>
        <v>0</v>
      </c>
      <c r="F25" s="461">
        <f>D25/((1+Inputs!$B$4)^($B25-Inputs!$B$10))</f>
        <v>0</v>
      </c>
    </row>
    <row r="26" spans="1:6" hidden="1">
      <c r="A26" s="64">
        <f>IF((B26&gt;(Inputs!$B$7+Inputs!$B$8)),0,IF((B26&lt;Inputs!$B$7),0,((B26-Inputs!$B$7))))</f>
        <v>0</v>
      </c>
      <c r="B26" s="65">
        <v>2015</v>
      </c>
      <c r="C26" s="452">
        <f t="shared" si="0"/>
        <v>3784</v>
      </c>
      <c r="D26" s="461">
        <f t="shared" si="1"/>
        <v>0</v>
      </c>
      <c r="E26" s="461">
        <f>D26/((1+Inputs!$B$3)^($B26-Inputs!$B$10))</f>
        <v>0</v>
      </c>
      <c r="F26" s="461">
        <f>D26/((1+Inputs!$B$4)^($B26-Inputs!$B$10))</f>
        <v>0</v>
      </c>
    </row>
    <row r="27" spans="1:6" hidden="1">
      <c r="A27" s="64">
        <f>IF((B27&gt;(Inputs!$B$7+Inputs!$B$8)),0,IF((B27&lt;Inputs!$B$7),0,((B27-Inputs!$B$7))))</f>
        <v>0</v>
      </c>
      <c r="B27" s="65">
        <v>2016</v>
      </c>
      <c r="C27" s="452">
        <f t="shared" si="0"/>
        <v>3784</v>
      </c>
      <c r="D27" s="461">
        <f t="shared" si="1"/>
        <v>0</v>
      </c>
      <c r="E27" s="461">
        <f>D27/((1+Inputs!$B$3)^($B27-Inputs!$B$10))</f>
        <v>0</v>
      </c>
      <c r="F27" s="461">
        <f>D27/((1+Inputs!$B$4)^($B27-Inputs!$B$10))</f>
        <v>0</v>
      </c>
    </row>
    <row r="28" spans="1:6" hidden="1">
      <c r="A28" s="64">
        <f>IF((B28&gt;(Inputs!$B$7+Inputs!$B$8)),0,IF((B28&lt;Inputs!$B$7),0,((B28-Inputs!$B$7))))</f>
        <v>0</v>
      </c>
      <c r="B28" s="65">
        <v>2017</v>
      </c>
      <c r="C28" s="452">
        <f t="shared" si="0"/>
        <v>3784</v>
      </c>
      <c r="D28" s="461">
        <f t="shared" si="1"/>
        <v>0</v>
      </c>
      <c r="E28" s="461">
        <f>D28/((1+Inputs!$B$3)^($B28-Inputs!$B$10))</f>
        <v>0</v>
      </c>
      <c r="F28" s="461">
        <f>D28/((1+Inputs!$B$4)^($B28-Inputs!$B$10))</f>
        <v>0</v>
      </c>
    </row>
    <row r="29" spans="1:6" hidden="1">
      <c r="A29" s="64">
        <f>IF((B29&gt;(Inputs!$B$7+Inputs!$B$8)),0,IF((B29&lt;Inputs!$B$7),0,((B29-Inputs!$B$7))))</f>
        <v>0</v>
      </c>
      <c r="B29" s="65">
        <v>2018</v>
      </c>
      <c r="C29" s="452">
        <f t="shared" si="0"/>
        <v>3784</v>
      </c>
      <c r="D29" s="461">
        <f t="shared" si="1"/>
        <v>0</v>
      </c>
      <c r="E29" s="461">
        <f>D29/((1+Inputs!$B$3)^($B29-Inputs!$B$10))</f>
        <v>0</v>
      </c>
      <c r="F29" s="461">
        <f>D29/((1+Inputs!$B$4)^($B29-Inputs!$B$10))</f>
        <v>0</v>
      </c>
    </row>
    <row r="30" spans="1:6">
      <c r="A30" s="64">
        <f>IF((B30&gt;(Inputs!$B$7+Inputs!$B$8)),0,IF((B30&lt;Inputs!$B$7),0,((B30-Inputs!$B$7))))</f>
        <v>0</v>
      </c>
      <c r="B30" s="65">
        <v>2019</v>
      </c>
      <c r="C30" s="452">
        <f t="shared" si="0"/>
        <v>3784</v>
      </c>
      <c r="D30" s="461">
        <f t="shared" si="1"/>
        <v>0</v>
      </c>
      <c r="E30" s="461">
        <f>D30/((1+Inputs!$B$3)^($B30-Inputs!$B$10))</f>
        <v>0</v>
      </c>
      <c r="F30" s="461">
        <f>D30/((1+Inputs!$B$4)^($B30-Inputs!$B$10))</f>
        <v>0</v>
      </c>
    </row>
    <row r="31" spans="1:6">
      <c r="A31" s="64">
        <f>IF((B31&gt;(Inputs!$B$7+Inputs!$B$8)),0,IF((B31&lt;Inputs!$B$7),0,((B31-Inputs!$B$7))))</f>
        <v>0</v>
      </c>
      <c r="B31" s="65">
        <v>2020</v>
      </c>
      <c r="C31" s="452">
        <f t="shared" si="0"/>
        <v>3784</v>
      </c>
      <c r="D31" s="461">
        <f t="shared" si="1"/>
        <v>0</v>
      </c>
      <c r="E31" s="461">
        <f>D31/((1+Inputs!$B$3)^($B31-Inputs!$B$10))</f>
        <v>0</v>
      </c>
      <c r="F31" s="461">
        <f>D31/((1+Inputs!$B$4)^($B31-Inputs!$B$10))</f>
        <v>0</v>
      </c>
    </row>
    <row r="32" spans="1:6">
      <c r="A32" s="64">
        <f>IF((B32&gt;(Inputs!$B$7+Inputs!$B$8)),0,IF((B32&lt;Inputs!$B$7),0,((B32-Inputs!$B$7))))</f>
        <v>0</v>
      </c>
      <c r="B32" s="65">
        <v>2021</v>
      </c>
      <c r="C32" s="452">
        <f t="shared" si="0"/>
        <v>3784</v>
      </c>
      <c r="D32" s="461">
        <f t="shared" si="1"/>
        <v>0</v>
      </c>
      <c r="E32" s="461">
        <f>D32/((1+Inputs!$B$3)^($B32-Inputs!$B$10))</f>
        <v>0</v>
      </c>
      <c r="F32" s="461">
        <f>D32/((1+Inputs!$B$4)^($B32-Inputs!$B$10))</f>
        <v>0</v>
      </c>
    </row>
    <row r="33" spans="1:6">
      <c r="A33" s="64">
        <f>IF((B33&gt;(Inputs!$B$7+Inputs!$B$8)),0,IF((B33&lt;Inputs!$B$7),0,((B33-Inputs!$B$7))))</f>
        <v>0</v>
      </c>
      <c r="B33" s="65">
        <v>2022</v>
      </c>
      <c r="C33" s="452">
        <f t="shared" si="0"/>
        <v>3784</v>
      </c>
      <c r="D33" s="461">
        <f t="shared" si="1"/>
        <v>0</v>
      </c>
      <c r="E33" s="461">
        <f>D33/((1+Inputs!$B$3)^($B33-Inputs!$B$10))</f>
        <v>0</v>
      </c>
      <c r="F33" s="461">
        <f>D33/((1+Inputs!$B$4)^($B33-Inputs!$B$10))</f>
        <v>0</v>
      </c>
    </row>
    <row r="34" spans="1:6">
      <c r="A34" s="64">
        <f>IF((B34&gt;(Inputs!$B$7+Inputs!$B$8)),0,IF((B34&lt;Inputs!$B$7),0,((B34-Inputs!$B$7))))</f>
        <v>0</v>
      </c>
      <c r="B34" s="65">
        <v>2023</v>
      </c>
      <c r="C34" s="452">
        <f t="shared" si="0"/>
        <v>3784</v>
      </c>
      <c r="D34" s="461">
        <f t="shared" si="1"/>
        <v>0</v>
      </c>
      <c r="E34" s="461">
        <f>D34/((1+Inputs!$B$3)^($B34-Inputs!$B$10))</f>
        <v>0</v>
      </c>
      <c r="F34" s="461">
        <f>D34/((1+Inputs!$B$4)^($B34-Inputs!$B$10))</f>
        <v>0</v>
      </c>
    </row>
    <row r="35" spans="1:6">
      <c r="A35" s="64">
        <f>IF((B35&gt;(Inputs!$B$7+Inputs!$B$8)),0,IF((B35&lt;Inputs!$B$7),0,((B35-Inputs!$B$7))))</f>
        <v>0</v>
      </c>
      <c r="B35" s="65">
        <v>2024</v>
      </c>
      <c r="C35" s="452">
        <f t="shared" si="0"/>
        <v>3784</v>
      </c>
      <c r="D35" s="461">
        <f t="shared" si="1"/>
        <v>0</v>
      </c>
      <c r="E35" s="461">
        <f>D35/((1+Inputs!$B$3)^($B35-Inputs!$B$10))</f>
        <v>0</v>
      </c>
      <c r="F35" s="461">
        <f>D35/((1+Inputs!$B$4)^($B35-Inputs!$B$10))</f>
        <v>0</v>
      </c>
    </row>
    <row r="36" spans="1:6">
      <c r="A36" s="64">
        <f>IF((B36&gt;(Inputs!$B$7+Inputs!$B$8)),0,IF((B36&lt;Inputs!$B$7),0,((B36-Inputs!$B$7))))</f>
        <v>0</v>
      </c>
      <c r="B36" s="65">
        <v>2025</v>
      </c>
      <c r="C36" s="452">
        <f t="shared" si="0"/>
        <v>3784</v>
      </c>
      <c r="D36" s="461">
        <f t="shared" si="1"/>
        <v>0</v>
      </c>
      <c r="E36" s="461">
        <f>D36/((1+Inputs!$B$3)^($B36-Inputs!$B$10))</f>
        <v>0</v>
      </c>
      <c r="F36" s="461">
        <f>D36/((1+Inputs!$B$4)^($B36-Inputs!$B$10))</f>
        <v>0</v>
      </c>
    </row>
    <row r="37" spans="1:6">
      <c r="A37" s="64">
        <f>IF((B37&gt;(Inputs!$B$7+Inputs!$B$8)),0,IF((B37&lt;Inputs!$B$7),0,((B37-Inputs!$B$7))))</f>
        <v>1</v>
      </c>
      <c r="B37" s="65">
        <v>2026</v>
      </c>
      <c r="C37" s="452">
        <f t="shared" si="0"/>
        <v>3784</v>
      </c>
      <c r="D37" s="461">
        <f t="shared" si="1"/>
        <v>39240.079999999994</v>
      </c>
      <c r="E37" s="461">
        <f>D37/((1+Inputs!$B$3)^($B37-Inputs!$B$10))</f>
        <v>26147.322169937852</v>
      </c>
      <c r="F37" s="461">
        <f>D37/((1+Inputs!$B$4)^($B37-Inputs!$B$10))</f>
        <v>32862.949231007129</v>
      </c>
    </row>
    <row r="38" spans="1:6">
      <c r="A38" s="64">
        <f>IF((B38&gt;(Inputs!$B$7+Inputs!$B$8)),0,IF((B38&lt;Inputs!$B$7),0,((B38-Inputs!$B$7))))</f>
        <v>2</v>
      </c>
      <c r="B38" s="65">
        <v>2027</v>
      </c>
      <c r="C38" s="452">
        <f t="shared" si="0"/>
        <v>3784</v>
      </c>
      <c r="D38" s="461">
        <f t="shared" si="1"/>
        <v>39240.079999999994</v>
      </c>
      <c r="E38" s="461">
        <f>D38/((1+Inputs!$B$3)^($B38-Inputs!$B$10))</f>
        <v>24436.749691530702</v>
      </c>
      <c r="F38" s="461">
        <f>D38/((1+Inputs!$B$4)^($B38-Inputs!$B$10))</f>
        <v>31905.775952434105</v>
      </c>
    </row>
    <row r="39" spans="1:6">
      <c r="A39" s="64">
        <f>IF((B39&gt;(Inputs!$B$7+Inputs!$B$8)),0,IF((B39&lt;Inputs!$B$7),0,((B39-Inputs!$B$7))))</f>
        <v>3</v>
      </c>
      <c r="B39" s="65">
        <v>2028</v>
      </c>
      <c r="C39" s="452">
        <f t="shared" si="0"/>
        <v>3784</v>
      </c>
      <c r="D39" s="461">
        <f t="shared" si="1"/>
        <v>39240.079999999994</v>
      </c>
      <c r="E39" s="461">
        <f>D39/((1+Inputs!$B$3)^($B39-Inputs!$B$10))</f>
        <v>22838.08382386047</v>
      </c>
      <c r="F39" s="461">
        <f>D39/((1+Inputs!$B$4)^($B39-Inputs!$B$10))</f>
        <v>30976.481507217581</v>
      </c>
    </row>
    <row r="40" spans="1:6">
      <c r="A40" s="64">
        <f>IF((B40&gt;(Inputs!$B$7+Inputs!$B$8)),0,IF((B40&lt;Inputs!$B$7),0,((B40-Inputs!$B$7))))</f>
        <v>4</v>
      </c>
      <c r="B40" s="65">
        <v>2029</v>
      </c>
      <c r="C40" s="452">
        <f t="shared" si="0"/>
        <v>3784</v>
      </c>
      <c r="D40" s="461">
        <f t="shared" si="1"/>
        <v>39240.079999999994</v>
      </c>
      <c r="E40" s="461">
        <f>D40/((1+Inputs!$B$3)^($B40-Inputs!$B$10))</f>
        <v>21344.003573701371</v>
      </c>
      <c r="F40" s="461">
        <f>D40/((1+Inputs!$B$4)^($B40-Inputs!$B$10))</f>
        <v>30074.253890502503</v>
      </c>
    </row>
    <row r="41" spans="1:6">
      <c r="A41" s="64">
        <f>IF((B41&gt;(Inputs!$B$7+Inputs!$B$8)),0,IF((B41&lt;Inputs!$B$7),0,((B41-Inputs!$B$7))))</f>
        <v>5</v>
      </c>
      <c r="B41" s="65">
        <v>2030</v>
      </c>
      <c r="C41" s="452">
        <f t="shared" ref="C41:C63" si="2">C40*(1+$E$13)</f>
        <v>3784</v>
      </c>
      <c r="D41" s="461">
        <f t="shared" si="1"/>
        <v>39240.079999999994</v>
      </c>
      <c r="E41" s="461">
        <f>D41/((1+Inputs!$B$3)^($B41-Inputs!$B$10))</f>
        <v>19947.666891309695</v>
      </c>
      <c r="F41" s="461">
        <f>D41/((1+Inputs!$B$4)^($B41-Inputs!$B$10))</f>
        <v>29198.304748060684</v>
      </c>
    </row>
    <row r="42" spans="1:6">
      <c r="A42" s="64">
        <f>IF((B42&gt;(Inputs!$B$7+Inputs!$B$8)),0,IF((B42&lt;Inputs!$B$7),0,((B42-Inputs!$B$7))))</f>
        <v>6</v>
      </c>
      <c r="B42" s="65">
        <v>2031</v>
      </c>
      <c r="C42" s="452">
        <f t="shared" si="2"/>
        <v>3784</v>
      </c>
      <c r="D42" s="461">
        <f t="shared" si="1"/>
        <v>39240.079999999994</v>
      </c>
      <c r="E42" s="461">
        <f>D42/((1+Inputs!$B$3)^($B42-Inputs!$B$10))</f>
        <v>18642.679337672609</v>
      </c>
      <c r="F42" s="461">
        <f>D42/((1+Inputs!$B$4)^($B42-Inputs!$B$10))</f>
        <v>28347.868687437556</v>
      </c>
    </row>
    <row r="43" spans="1:6">
      <c r="A43" s="64">
        <f>IF((B43&gt;(Inputs!$B$7+Inputs!$B$8)),0,IF((B43&lt;Inputs!$B$7),0,((B43-Inputs!$B$7))))</f>
        <v>7</v>
      </c>
      <c r="B43" s="65">
        <v>2032</v>
      </c>
      <c r="C43" s="452">
        <f t="shared" si="2"/>
        <v>3784</v>
      </c>
      <c r="D43" s="461">
        <f t="shared" si="1"/>
        <v>39240.079999999994</v>
      </c>
      <c r="E43" s="461">
        <f>D43/((1+Inputs!$B$3)^($B43-Inputs!$B$10))</f>
        <v>17423.064801563189</v>
      </c>
      <c r="F43" s="461">
        <f>D43/((1+Inputs!$B$4)^($B43-Inputs!$B$10))</f>
        <v>27522.202609162679</v>
      </c>
    </row>
    <row r="44" spans="1:6">
      <c r="A44" s="64">
        <f>IF((B44&gt;(Inputs!$B$7+Inputs!$B$8)),0,IF((B44&lt;Inputs!$B$7),0,((B44-Inputs!$B$7))))</f>
        <v>8</v>
      </c>
      <c r="B44" s="65">
        <v>2033</v>
      </c>
      <c r="C44" s="452">
        <f t="shared" si="2"/>
        <v>3784</v>
      </c>
      <c r="D44" s="461">
        <f t="shared" si="1"/>
        <v>39240.079999999994</v>
      </c>
      <c r="E44" s="461">
        <f>D44/((1+Inputs!$B$3)^($B44-Inputs!$B$10))</f>
        <v>16283.238132302045</v>
      </c>
      <c r="F44" s="461">
        <f>D44/((1+Inputs!$B$4)^($B44-Inputs!$B$10))</f>
        <v>26720.585057439497</v>
      </c>
    </row>
    <row r="45" spans="1:6">
      <c r="A45" s="64">
        <f>IF((B45&gt;(Inputs!$B$7+Inputs!$B$8)),0,IF((B45&lt;Inputs!$B$7),0,((B45-Inputs!$B$7))))</f>
        <v>9</v>
      </c>
      <c r="B45" s="65">
        <v>2034</v>
      </c>
      <c r="C45" s="452">
        <f t="shared" si="2"/>
        <v>3784</v>
      </c>
      <c r="D45" s="461">
        <f t="shared" si="1"/>
        <v>39240.079999999994</v>
      </c>
      <c r="E45" s="461">
        <f>D45/((1+Inputs!$B$3)^($B45-Inputs!$B$10))</f>
        <v>15217.979562899109</v>
      </c>
      <c r="F45" s="461">
        <f>D45/((1+Inputs!$B$4)^($B45-Inputs!$B$10))</f>
        <v>25942.315589747082</v>
      </c>
    </row>
    <row r="46" spans="1:6">
      <c r="A46" s="64">
        <f>IF((B46&gt;(Inputs!$B$7+Inputs!$B$8)),0,IF((B46&lt;Inputs!$B$7),0,((B46-Inputs!$B$7))))</f>
        <v>10</v>
      </c>
      <c r="B46" s="65">
        <v>2035</v>
      </c>
      <c r="C46" s="452">
        <f t="shared" si="2"/>
        <v>3784</v>
      </c>
      <c r="D46" s="461">
        <f t="shared" si="1"/>
        <v>39240.079999999994</v>
      </c>
      <c r="E46" s="461">
        <f>D46/((1+Inputs!$B$3)^($B46-Inputs!$B$10))</f>
        <v>14222.410806447762</v>
      </c>
      <c r="F46" s="461">
        <f>D46/((1+Inputs!$B$4)^($B46-Inputs!$B$10))</f>
        <v>25186.71416480299</v>
      </c>
    </row>
    <row r="47" spans="1:6">
      <c r="A47" s="64">
        <f>IF((B47&gt;(Inputs!$B$7+Inputs!$B$8)),0,IF((B47&lt;Inputs!$B$7),0,((B47-Inputs!$B$7))))</f>
        <v>11</v>
      </c>
      <c r="B47" s="65">
        <v>2036</v>
      </c>
      <c r="C47" s="452">
        <f t="shared" si="2"/>
        <v>3784</v>
      </c>
      <c r="D47" s="461">
        <f t="shared" si="1"/>
        <v>39240.079999999994</v>
      </c>
      <c r="E47" s="461">
        <f>D47/((1+Inputs!$B$3)^($B47-Inputs!$B$10))</f>
        <v>13291.972716306322</v>
      </c>
      <c r="F47" s="461">
        <f>D47/((1+Inputs!$B$4)^($B47-Inputs!$B$10))</f>
        <v>24453.120548352421</v>
      </c>
    </row>
    <row r="48" spans="1:6">
      <c r="A48" s="64">
        <f>IF((B48&gt;(Inputs!$B$7+Inputs!$B$8)),0,IF((B48&lt;Inputs!$B$7),0,((B48-Inputs!$B$7))))</f>
        <v>12</v>
      </c>
      <c r="B48" s="65">
        <v>2037</v>
      </c>
      <c r="C48" s="452">
        <f t="shared" si="2"/>
        <v>3784</v>
      </c>
      <c r="D48" s="461">
        <f t="shared" si="1"/>
        <v>39240.079999999994</v>
      </c>
      <c r="E48" s="461">
        <f>D48/((1+Inputs!$B$3)^($B48-Inputs!$B$10))</f>
        <v>12422.404407762919</v>
      </c>
      <c r="F48" s="461">
        <f>D48/((1+Inputs!$B$4)^($B48-Inputs!$B$10))</f>
        <v>23740.893736264487</v>
      </c>
    </row>
    <row r="49" spans="1:6">
      <c r="A49" s="64">
        <f>IF((B49&gt;(Inputs!$B$7+Inputs!$B$8)),0,IF((B49&lt;Inputs!$B$7),0,((B49-Inputs!$B$7))))</f>
        <v>13</v>
      </c>
      <c r="B49" s="65">
        <v>2038</v>
      </c>
      <c r="C49" s="452">
        <f t="shared" si="2"/>
        <v>3784</v>
      </c>
      <c r="D49" s="461">
        <f t="shared" si="1"/>
        <v>39240.079999999994</v>
      </c>
      <c r="E49" s="461">
        <f>D49/((1+Inputs!$B$3)^($B49-Inputs!$B$10))</f>
        <v>11609.723745572821</v>
      </c>
      <c r="F49" s="461">
        <f>D49/((1+Inputs!$B$4)^($B49-Inputs!$B$10))</f>
        <v>23049.41139443154</v>
      </c>
    </row>
    <row r="50" spans="1:6">
      <c r="A50" s="64">
        <f>IF((B50&gt;(Inputs!$B$7+Inputs!$B$8)),0,IF((B50&lt;Inputs!$B$7),0,((B50-Inputs!$B$7))))</f>
        <v>14</v>
      </c>
      <c r="B50" s="65">
        <v>2039</v>
      </c>
      <c r="C50" s="452">
        <f t="shared" si="2"/>
        <v>3784</v>
      </c>
      <c r="D50" s="461">
        <f t="shared" si="1"/>
        <v>39240.079999999994</v>
      </c>
      <c r="E50" s="461">
        <f>D50/((1+Inputs!$B$3)^($B50-Inputs!$B$10))</f>
        <v>10850.209108011981</v>
      </c>
      <c r="F50" s="461">
        <f>D50/((1+Inputs!$B$4)^($B50-Inputs!$B$10))</f>
        <v>22378.06931498208</v>
      </c>
    </row>
    <row r="51" spans="1:6">
      <c r="A51" s="64">
        <f>IF((B51&gt;(Inputs!$B$7+Inputs!$B$8)),0,IF((B51&lt;Inputs!$B$7),0,((B51-Inputs!$B$7))))</f>
        <v>15</v>
      </c>
      <c r="B51" s="65">
        <v>2040</v>
      </c>
      <c r="C51" s="452">
        <f t="shared" si="2"/>
        <v>3784</v>
      </c>
      <c r="D51" s="461">
        <f t="shared" si="1"/>
        <v>39240.079999999994</v>
      </c>
      <c r="E51" s="461">
        <f>D51/((1+Inputs!$B$3)^($B51-Inputs!$B$10))</f>
        <v>10140.382343936431</v>
      </c>
      <c r="F51" s="461">
        <f>D51/((1+Inputs!$B$4)^($B51-Inputs!$B$10))</f>
        <v>21726.280888332116</v>
      </c>
    </row>
    <row r="52" spans="1:6">
      <c r="A52" s="64">
        <f>IF((B52&gt;(Inputs!$B$7+Inputs!$B$8)),0,IF((B52&lt;Inputs!$B$7),0,((B52-Inputs!$B$7))))</f>
        <v>16</v>
      </c>
      <c r="B52" s="65">
        <v>2041</v>
      </c>
      <c r="C52" s="452">
        <f t="shared" si="2"/>
        <v>3784</v>
      </c>
      <c r="D52" s="461">
        <f t="shared" si="1"/>
        <v>39240.079999999994</v>
      </c>
      <c r="E52" s="461">
        <f>D52/((1+Inputs!$B$3)^($B52-Inputs!$B$10))</f>
        <v>9476.992844800403</v>
      </c>
      <c r="F52" s="461">
        <f>D52/((1+Inputs!$B$4)^($B52-Inputs!$B$10))</f>
        <v>21093.476590613707</v>
      </c>
    </row>
    <row r="53" spans="1:6">
      <c r="A53" s="64">
        <f>IF((B53&gt;(Inputs!$B$7+Inputs!$B$8)),0,IF((B53&lt;Inputs!$B$7),0,((B53-Inputs!$B$7))))</f>
        <v>17</v>
      </c>
      <c r="B53" s="65">
        <v>2042</v>
      </c>
      <c r="C53" s="452">
        <f t="shared" si="2"/>
        <v>3784</v>
      </c>
      <c r="D53" s="461">
        <f t="shared" si="1"/>
        <v>39240.079999999994</v>
      </c>
      <c r="E53" s="461">
        <f>D53/((1+Inputs!$B$3)^($B53-Inputs!$B$10))</f>
        <v>8857.0026586919648</v>
      </c>
      <c r="F53" s="461">
        <f>D53/((1+Inputs!$B$4)^($B53-Inputs!$B$10))</f>
        <v>20479.103486032724</v>
      </c>
    </row>
    <row r="54" spans="1:6">
      <c r="A54" s="64">
        <f>IF((B54&gt;(Inputs!$B$7+Inputs!$B$8)),0,IF((B54&lt;Inputs!$B$7),0,((B54-Inputs!$B$7))))</f>
        <v>18</v>
      </c>
      <c r="B54" s="65">
        <v>2043</v>
      </c>
      <c r="C54" s="452">
        <f t="shared" si="2"/>
        <v>3784</v>
      </c>
      <c r="D54" s="461">
        <f t="shared" si="1"/>
        <v>39240.079999999994</v>
      </c>
      <c r="E54" s="461">
        <f>D54/((1+Inputs!$B$3)^($B54-Inputs!$B$10))</f>
        <v>8277.5725782167901</v>
      </c>
      <c r="F54" s="461">
        <f>D54/((1+Inputs!$B$4)^($B54-Inputs!$B$10))</f>
        <v>19882.624743721091</v>
      </c>
    </row>
    <row r="55" spans="1:6">
      <c r="A55" s="64">
        <f>IF((B55&gt;(Inputs!$B$7+Inputs!$B$8)),0,IF((B55&lt;Inputs!$B$7),0,((B55-Inputs!$B$7))))</f>
        <v>19</v>
      </c>
      <c r="B55" s="65">
        <v>2044</v>
      </c>
      <c r="C55" s="452">
        <f t="shared" si="2"/>
        <v>3784</v>
      </c>
      <c r="D55" s="461">
        <f t="shared" si="1"/>
        <v>39240.079999999994</v>
      </c>
      <c r="E55" s="461">
        <f>D55/((1+Inputs!$B$3)^($B55-Inputs!$B$10))</f>
        <v>7736.0491385203641</v>
      </c>
      <c r="F55" s="461">
        <f>D55/((1+Inputs!$B$4)^($B55-Inputs!$B$10))</f>
        <v>19303.519168661256</v>
      </c>
    </row>
    <row r="56" spans="1:6">
      <c r="A56" s="64">
        <f>IF((B56&gt;(Inputs!$B$7+Inputs!$B$8)),0,IF((B56&lt;Inputs!$B$7),0,((B56-Inputs!$B$7))))</f>
        <v>20</v>
      </c>
      <c r="B56" s="65">
        <v>2045</v>
      </c>
      <c r="C56" s="452">
        <f t="shared" si="2"/>
        <v>3784</v>
      </c>
      <c r="D56" s="461">
        <f t="shared" si="1"/>
        <v>39240.079999999994</v>
      </c>
      <c r="E56" s="461">
        <f>D56/((1+Inputs!$B$3)^($B56-Inputs!$B$10))</f>
        <v>7229.952465906882</v>
      </c>
      <c r="F56" s="461">
        <f>D56/((1+Inputs!$B$4)^($B56-Inputs!$B$10))</f>
        <v>18741.280746273063</v>
      </c>
    </row>
    <row r="57" spans="1:6">
      <c r="A57" s="64">
        <f>IF((B57&gt;(Inputs!$B$7+Inputs!$B$8)),0,IF((B57&lt;Inputs!$B$7),0,((B57-Inputs!$B$7))))</f>
        <v>21</v>
      </c>
      <c r="B57" s="65">
        <v>2046</v>
      </c>
      <c r="C57" s="452">
        <f t="shared" si="2"/>
        <v>3784</v>
      </c>
      <c r="D57" s="461">
        <f t="shared" si="1"/>
        <v>39240.079999999994</v>
      </c>
      <c r="E57" s="461">
        <f>D57/((1+Inputs!$B$3)^($B57-Inputs!$B$10))</f>
        <v>6756.9649214083011</v>
      </c>
      <c r="F57" s="461">
        <f>D57/((1+Inputs!$B$4)^($B57-Inputs!$B$10))</f>
        <v>18195.418200265107</v>
      </c>
    </row>
    <row r="58" spans="1:6">
      <c r="A58" s="64">
        <f>IF((B58&gt;(Inputs!$B$7+Inputs!$B$8)),0,IF((B58&lt;Inputs!$B$7),0,((B58-Inputs!$B$7))))</f>
        <v>22</v>
      </c>
      <c r="B58" s="65">
        <v>2047</v>
      </c>
      <c r="C58" s="452">
        <f t="shared" si="2"/>
        <v>3784</v>
      </c>
      <c r="D58" s="461">
        <f t="shared" si="1"/>
        <v>39240.079999999994</v>
      </c>
      <c r="E58" s="461">
        <f>D58/((1+Inputs!$B$3)^($B58-Inputs!$B$10))</f>
        <v>6314.9204872974769</v>
      </c>
      <c r="F58" s="461">
        <f>D58/((1+Inputs!$B$4)^($B58-Inputs!$B$10))</f>
        <v>17665.454563364183</v>
      </c>
    </row>
    <row r="59" spans="1:6">
      <c r="A59" s="64">
        <f>IF((B59&gt;(Inputs!$B$7+Inputs!$B$8)),0,IF((B59&lt;Inputs!$B$7),0,((B59-Inputs!$B$7))))</f>
        <v>23</v>
      </c>
      <c r="B59" s="65">
        <v>2048</v>
      </c>
      <c r="C59" s="452">
        <f t="shared" si="2"/>
        <v>3784</v>
      </c>
      <c r="D59" s="461">
        <f t="shared" si="1"/>
        <v>39240.079999999994</v>
      </c>
      <c r="E59" s="461">
        <f>D59/((1+Inputs!$B$3)^($B59-Inputs!$B$10))</f>
        <v>5901.7948479415682</v>
      </c>
      <c r="F59" s="461">
        <f>D59/((1+Inputs!$B$4)^($B59-Inputs!$B$10))</f>
        <v>17150.926760547751</v>
      </c>
    </row>
    <row r="60" spans="1:6">
      <c r="A60" s="64">
        <f>IF((B60&gt;(Inputs!$B$7+Inputs!$B$8)),0,IF((B60&lt;Inputs!$B$7),0,((B60-Inputs!$B$7))))</f>
        <v>24</v>
      </c>
      <c r="B60" s="65">
        <v>2049</v>
      </c>
      <c r="C60" s="452">
        <f t="shared" si="2"/>
        <v>3784</v>
      </c>
      <c r="D60" s="461">
        <f t="shared" si="1"/>
        <v>39240.079999999994</v>
      </c>
      <c r="E60" s="461">
        <f>D60/((1+Inputs!$B$3)^($B60-Inputs!$B$10))</f>
        <v>5515.6961195715585</v>
      </c>
      <c r="F60" s="461">
        <f>D60/((1+Inputs!$B$4)^($B60-Inputs!$B$10))</f>
        <v>16651.385204415295</v>
      </c>
    </row>
    <row r="61" spans="1:6">
      <c r="A61" s="64">
        <f>IF((B61&gt;(Inputs!$B$7+Inputs!$B$8)),0,IF((B61&lt;Inputs!$B$7),0,((B61-Inputs!$B$7))))</f>
        <v>25</v>
      </c>
      <c r="B61" s="65">
        <v>2050</v>
      </c>
      <c r="C61" s="452">
        <f t="shared" si="2"/>
        <v>3784</v>
      </c>
      <c r="D61" s="461">
        <f t="shared" si="1"/>
        <v>39240.079999999994</v>
      </c>
      <c r="E61" s="461">
        <f>D61/((1+Inputs!$B$3)^($B61-Inputs!$B$10))</f>
        <v>5154.8561865154761</v>
      </c>
      <c r="F61" s="461">
        <f>D61/((1+Inputs!$B$4)^($B61-Inputs!$B$10))</f>
        <v>16166.393402344946</v>
      </c>
    </row>
    <row r="62" spans="1:6">
      <c r="A62" s="64">
        <f>IF((B62&gt;(Inputs!$B$7+Inputs!$B$8)),0,IF((B62&lt;Inputs!$B$7),0,((B62-Inputs!$B$7))))</f>
        <v>26</v>
      </c>
      <c r="B62" s="65">
        <v>2051</v>
      </c>
      <c r="C62" s="452">
        <f t="shared" si="2"/>
        <v>3784</v>
      </c>
      <c r="D62" s="461">
        <f t="shared" si="1"/>
        <v>39240.079999999994</v>
      </c>
      <c r="E62" s="461">
        <f>D62/((1+Inputs!$B$3)^($B62-Inputs!$B$10))</f>
        <v>4817.6226042200697</v>
      </c>
      <c r="F62" s="461">
        <f>D62/((1+Inputs!$B$4)^($B62-Inputs!$B$10))</f>
        <v>15695.527575092177</v>
      </c>
    </row>
    <row r="63" spans="1:6">
      <c r="A63" s="64">
        <f>IF((B63&gt;(Inputs!$B$7+Inputs!$B$8)),0,IF((B63&lt;Inputs!$B$7),0,((B63-Inputs!$B$7))))</f>
        <v>27</v>
      </c>
      <c r="B63" s="65">
        <v>2052</v>
      </c>
      <c r="C63" s="452">
        <f t="shared" si="2"/>
        <v>3784</v>
      </c>
      <c r="D63" s="461">
        <f t="shared" si="1"/>
        <v>39240.079999999994</v>
      </c>
      <c r="E63" s="461">
        <f>D63/((1+Inputs!$B$3)^($B63-Inputs!$B$10))</f>
        <v>4502.4510319813744</v>
      </c>
      <c r="F63" s="461">
        <f>D63/((1+Inputs!$B$4)^($B63-Inputs!$B$10))</f>
        <v>15238.376286497263</v>
      </c>
    </row>
    <row r="64" spans="1:6">
      <c r="A64" s="64">
        <f>IF((B64&gt;(Inputs!$B$7+Inputs!$B$8)),0,IF((B64&lt;Inputs!$B$7),0,((B64-Inputs!$B$7))))</f>
        <v>28</v>
      </c>
      <c r="B64" s="65">
        <v>2053</v>
      </c>
      <c r="C64" s="452">
        <f t="shared" ref="C64:C71" si="3">C63*(1+$E$13)</f>
        <v>3784</v>
      </c>
      <c r="D64" s="461">
        <f t="shared" si="1"/>
        <v>39240.079999999994</v>
      </c>
      <c r="E64" s="461">
        <f>D64/((1+Inputs!$B$3)^($B64-Inputs!$B$10))</f>
        <v>4207.8981607302558</v>
      </c>
      <c r="F64" s="461">
        <f>D64/((1+Inputs!$B$4)^($B64-Inputs!$B$10))</f>
        <v>14794.540083977925</v>
      </c>
    </row>
    <row r="65" spans="1:6">
      <c r="A65" s="64">
        <f>IF((B65&gt;(Inputs!$B$7+Inputs!$B$8)),0,IF((B65&lt;Inputs!$B$7),0,((B65-Inputs!$B$7))))</f>
        <v>29</v>
      </c>
      <c r="B65" s="65">
        <v>2054</v>
      </c>
      <c r="C65" s="452">
        <f t="shared" si="3"/>
        <v>3784</v>
      </c>
      <c r="D65" s="461">
        <f t="shared" si="1"/>
        <v>39240.079999999994</v>
      </c>
      <c r="E65" s="461">
        <f>D65/((1+Inputs!$B$3)^($B65-Inputs!$B$10))</f>
        <v>3932.615103486221</v>
      </c>
      <c r="F65" s="461">
        <f>D65/((1+Inputs!$B$4)^($B65-Inputs!$B$10))</f>
        <v>14363.631149493132</v>
      </c>
    </row>
    <row r="66" spans="1:6">
      <c r="A66" s="64">
        <f>IF((B66&gt;(Inputs!$B$7+Inputs!$B$8)),0,IF((B66&lt;Inputs!$B$7),0,((B66-Inputs!$B$7))))</f>
        <v>30</v>
      </c>
      <c r="B66" s="65">
        <v>2055</v>
      </c>
      <c r="C66" s="452">
        <f t="shared" si="3"/>
        <v>3784</v>
      </c>
      <c r="D66" s="461">
        <f t="shared" si="1"/>
        <v>39240.079999999994</v>
      </c>
      <c r="E66" s="461">
        <f>D66/((1+Inputs!$B$3)^($B66-Inputs!$B$10))</f>
        <v>3675.3412182114212</v>
      </c>
      <c r="F66" s="461">
        <f>D66/((1+Inputs!$B$4)^($B66-Inputs!$B$10))</f>
        <v>13945.272960672943</v>
      </c>
    </row>
    <row r="67" spans="1:6">
      <c r="A67" s="64">
        <f>IF((B67&gt;(Inputs!$B$7+Inputs!$B$8)),0,IF((B67&lt;Inputs!$B$7),0,((B67-Inputs!$B$7))))</f>
        <v>0</v>
      </c>
      <c r="B67" s="65">
        <v>2056</v>
      </c>
      <c r="C67" s="452">
        <f t="shared" si="3"/>
        <v>3784</v>
      </c>
      <c r="D67" s="461">
        <f t="shared" si="1"/>
        <v>0</v>
      </c>
      <c r="E67" s="461">
        <f>D67/((1+Inputs!$B$3)^($B67-Inputs!$B$10))</f>
        <v>0</v>
      </c>
      <c r="F67" s="461">
        <f>D67/((1+Inputs!$B$4)^($B67-Inputs!$B$10))</f>
        <v>0</v>
      </c>
    </row>
    <row r="68" spans="1:6">
      <c r="A68" s="64">
        <f>IF((B68&gt;(Inputs!$B$7+Inputs!$B$8)),0,IF((B68&lt;Inputs!$B$7),0,((B68-Inputs!$B$7))))</f>
        <v>0</v>
      </c>
      <c r="B68" s="65">
        <v>2057</v>
      </c>
      <c r="C68" s="452">
        <f t="shared" si="3"/>
        <v>3784</v>
      </c>
      <c r="D68" s="461">
        <f t="shared" si="1"/>
        <v>0</v>
      </c>
      <c r="E68" s="461">
        <f>D68/((1+Inputs!$B$3)^($B68-Inputs!$B$10))</f>
        <v>0</v>
      </c>
      <c r="F68" s="461">
        <f>D68/((1+Inputs!$B$4)^($B68-Inputs!$B$10))</f>
        <v>0</v>
      </c>
    </row>
    <row r="69" spans="1:6">
      <c r="A69" s="64">
        <f>IF((B69&gt;(Inputs!$B$7+Inputs!$B$8)),0,IF((B69&lt;Inputs!$B$7),0,((B69-Inputs!$B$7))))</f>
        <v>0</v>
      </c>
      <c r="B69" s="65">
        <v>2058</v>
      </c>
      <c r="C69" s="452">
        <f t="shared" si="3"/>
        <v>3784</v>
      </c>
      <c r="D69" s="461">
        <f t="shared" si="1"/>
        <v>0</v>
      </c>
      <c r="E69" s="461">
        <f>D69/((1+Inputs!$B$3)^($B69-Inputs!$B$10))</f>
        <v>0</v>
      </c>
      <c r="F69" s="461">
        <f>D69/((1+Inputs!$B$4)^($B69-Inputs!$B$10))</f>
        <v>0</v>
      </c>
    </row>
    <row r="70" spans="1:6">
      <c r="A70" s="64">
        <f>IF((B70&gt;(Inputs!$B$7+Inputs!$B$8)),0,IF((B70&lt;Inputs!$B$7),0,((B70-Inputs!$B$7))))</f>
        <v>0</v>
      </c>
      <c r="B70" s="65">
        <v>2059</v>
      </c>
      <c r="C70" s="452">
        <f t="shared" si="3"/>
        <v>3784</v>
      </c>
      <c r="D70" s="461">
        <f t="shared" si="1"/>
        <v>0</v>
      </c>
      <c r="E70" s="461">
        <f>D70/((1+Inputs!$B$3)^($B70-Inputs!$B$10))</f>
        <v>0</v>
      </c>
      <c r="F70" s="461">
        <f>D70/((1+Inputs!$B$4)^($B70-Inputs!$B$10))</f>
        <v>0</v>
      </c>
    </row>
    <row r="71" spans="1:6">
      <c r="A71" s="64">
        <f>IF((B71&gt;(Inputs!$B$7+Inputs!$B$8)),0,IF((B71&lt;Inputs!$B$7),0,((B71-Inputs!$B$7))))</f>
        <v>0</v>
      </c>
      <c r="B71" s="65">
        <v>2060</v>
      </c>
      <c r="C71" s="452">
        <f t="shared" si="3"/>
        <v>3784</v>
      </c>
      <c r="D71" s="461">
        <f t="shared" si="1"/>
        <v>0</v>
      </c>
      <c r="E71" s="461">
        <f>D71/((1+Inputs!$B$3)^($B71-Inputs!$B$10))</f>
        <v>0</v>
      </c>
      <c r="F71" s="461">
        <f>D71/((1+Inputs!$B$4)^($B71-Inputs!$B$10))</f>
        <v>0</v>
      </c>
    </row>
    <row r="72" spans="1:6">
      <c r="B72" s="66" t="s">
        <v>236</v>
      </c>
      <c r="C72" s="453"/>
      <c r="D72" s="454">
        <f>SUM(D35:D71)</f>
        <v>1177202.3999999997</v>
      </c>
      <c r="E72" s="454">
        <f t="shared" ref="E72:F72" si="4">SUM(E35:E71)</f>
        <v>347175.62148031523</v>
      </c>
      <c r="F72" s="454">
        <f t="shared" si="4"/>
        <v>663452.15824214707</v>
      </c>
    </row>
  </sheetData>
  <hyperlinks>
    <hyperlink ref="B4" r:id="rId1" xr:uid="{B60EE29C-43FF-4237-B2E5-955C140150B4}"/>
    <hyperlink ref="D16" r:id="rId2" xr:uid="{8024545E-7B60-4088-B49E-2477F9FC504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CDE09-4698-466F-A5D5-EB89DEFD37CB}">
  <sheetPr>
    <tabColor theme="6" tint="0.79998168889431442"/>
  </sheetPr>
  <dimension ref="A1:I106"/>
  <sheetViews>
    <sheetView workbookViewId="0">
      <selection sqref="A1:I1"/>
    </sheetView>
  </sheetViews>
  <sheetFormatPr defaultColWidth="8.85546875" defaultRowHeight="12.75"/>
  <cols>
    <col min="1" max="1" width="16.7109375" style="455" bestFit="1" customWidth="1"/>
    <col min="2" max="3" width="27.7109375" style="455" bestFit="1" customWidth="1"/>
    <col min="4" max="4" width="13.85546875" style="455" bestFit="1" customWidth="1"/>
    <col min="5" max="5" width="9.7109375" style="455" bestFit="1" customWidth="1"/>
    <col min="6" max="7" width="13.85546875" style="455" bestFit="1" customWidth="1"/>
    <col min="8" max="8" width="22.28515625" style="455" bestFit="1" customWidth="1"/>
    <col min="9" max="9" width="18.140625" style="455" bestFit="1" customWidth="1"/>
    <col min="10" max="256" width="8.85546875" style="455"/>
    <col min="257" max="257" width="16.7109375" style="455" bestFit="1" customWidth="1"/>
    <col min="258" max="259" width="27.7109375" style="455" bestFit="1" customWidth="1"/>
    <col min="260" max="260" width="13.85546875" style="455" bestFit="1" customWidth="1"/>
    <col min="261" max="261" width="9.7109375" style="455" bestFit="1" customWidth="1"/>
    <col min="262" max="263" width="13.85546875" style="455" bestFit="1" customWidth="1"/>
    <col min="264" max="264" width="22.28515625" style="455" bestFit="1" customWidth="1"/>
    <col min="265" max="265" width="18.140625" style="455" bestFit="1" customWidth="1"/>
    <col min="266" max="512" width="8.85546875" style="455"/>
    <col min="513" max="513" width="16.7109375" style="455" bestFit="1" customWidth="1"/>
    <col min="514" max="515" width="27.7109375" style="455" bestFit="1" customWidth="1"/>
    <col min="516" max="516" width="13.85546875" style="455" bestFit="1" customWidth="1"/>
    <col min="517" max="517" width="9.7109375" style="455" bestFit="1" customWidth="1"/>
    <col min="518" max="519" width="13.85546875" style="455" bestFit="1" customWidth="1"/>
    <col min="520" max="520" width="22.28515625" style="455" bestFit="1" customWidth="1"/>
    <col min="521" max="521" width="18.140625" style="455" bestFit="1" customWidth="1"/>
    <col min="522" max="768" width="8.85546875" style="455"/>
    <col min="769" max="769" width="16.7109375" style="455" bestFit="1" customWidth="1"/>
    <col min="770" max="771" width="27.7109375" style="455" bestFit="1" customWidth="1"/>
    <col min="772" max="772" width="13.85546875" style="455" bestFit="1" customWidth="1"/>
    <col min="773" max="773" width="9.7109375" style="455" bestFit="1" customWidth="1"/>
    <col min="774" max="775" width="13.85546875" style="455" bestFit="1" customWidth="1"/>
    <col min="776" max="776" width="22.28515625" style="455" bestFit="1" customWidth="1"/>
    <col min="777" max="777" width="18.140625" style="455" bestFit="1" customWidth="1"/>
    <col min="778" max="1024" width="8.85546875" style="455"/>
    <col min="1025" max="1025" width="16.7109375" style="455" bestFit="1" customWidth="1"/>
    <col min="1026" max="1027" width="27.7109375" style="455" bestFit="1" customWidth="1"/>
    <col min="1028" max="1028" width="13.85546875" style="455" bestFit="1" customWidth="1"/>
    <col min="1029" max="1029" width="9.7109375" style="455" bestFit="1" customWidth="1"/>
    <col min="1030" max="1031" width="13.85546875" style="455" bestFit="1" customWidth="1"/>
    <col min="1032" max="1032" width="22.28515625" style="455" bestFit="1" customWidth="1"/>
    <col min="1033" max="1033" width="18.140625" style="455" bestFit="1" customWidth="1"/>
    <col min="1034" max="1280" width="8.85546875" style="455"/>
    <col min="1281" max="1281" width="16.7109375" style="455" bestFit="1" customWidth="1"/>
    <col min="1282" max="1283" width="27.7109375" style="455" bestFit="1" customWidth="1"/>
    <col min="1284" max="1284" width="13.85546875" style="455" bestFit="1" customWidth="1"/>
    <col min="1285" max="1285" width="9.7109375" style="455" bestFit="1" customWidth="1"/>
    <col min="1286" max="1287" width="13.85546875" style="455" bestFit="1" customWidth="1"/>
    <col min="1288" max="1288" width="22.28515625" style="455" bestFit="1" customWidth="1"/>
    <col min="1289" max="1289" width="18.140625" style="455" bestFit="1" customWidth="1"/>
    <col min="1290" max="1536" width="8.85546875" style="455"/>
    <col min="1537" max="1537" width="16.7109375" style="455" bestFit="1" customWidth="1"/>
    <col min="1538" max="1539" width="27.7109375" style="455" bestFit="1" customWidth="1"/>
    <col min="1540" max="1540" width="13.85546875" style="455" bestFit="1" customWidth="1"/>
    <col min="1541" max="1541" width="9.7109375" style="455" bestFit="1" customWidth="1"/>
    <col min="1542" max="1543" width="13.85546875" style="455" bestFit="1" customWidth="1"/>
    <col min="1544" max="1544" width="22.28515625" style="455" bestFit="1" customWidth="1"/>
    <col min="1545" max="1545" width="18.140625" style="455" bestFit="1" customWidth="1"/>
    <col min="1546" max="1792" width="8.85546875" style="455"/>
    <col min="1793" max="1793" width="16.7109375" style="455" bestFit="1" customWidth="1"/>
    <col min="1794" max="1795" width="27.7109375" style="455" bestFit="1" customWidth="1"/>
    <col min="1796" max="1796" width="13.85546875" style="455" bestFit="1" customWidth="1"/>
    <col min="1797" max="1797" width="9.7109375" style="455" bestFit="1" customWidth="1"/>
    <col min="1798" max="1799" width="13.85546875" style="455" bestFit="1" customWidth="1"/>
    <col min="1800" max="1800" width="22.28515625" style="455" bestFit="1" customWidth="1"/>
    <col min="1801" max="1801" width="18.140625" style="455" bestFit="1" customWidth="1"/>
    <col min="1802" max="2048" width="8.85546875" style="455"/>
    <col min="2049" max="2049" width="16.7109375" style="455" bestFit="1" customWidth="1"/>
    <col min="2050" max="2051" width="27.7109375" style="455" bestFit="1" customWidth="1"/>
    <col min="2052" max="2052" width="13.85546875" style="455" bestFit="1" customWidth="1"/>
    <col min="2053" max="2053" width="9.7109375" style="455" bestFit="1" customWidth="1"/>
    <col min="2054" max="2055" width="13.85546875" style="455" bestFit="1" customWidth="1"/>
    <col min="2056" max="2056" width="22.28515625" style="455" bestFit="1" customWidth="1"/>
    <col min="2057" max="2057" width="18.140625" style="455" bestFit="1" customWidth="1"/>
    <col min="2058" max="2304" width="8.85546875" style="455"/>
    <col min="2305" max="2305" width="16.7109375" style="455" bestFit="1" customWidth="1"/>
    <col min="2306" max="2307" width="27.7109375" style="455" bestFit="1" customWidth="1"/>
    <col min="2308" max="2308" width="13.85546875" style="455" bestFit="1" customWidth="1"/>
    <col min="2309" max="2309" width="9.7109375" style="455" bestFit="1" customWidth="1"/>
    <col min="2310" max="2311" width="13.85546875" style="455" bestFit="1" customWidth="1"/>
    <col min="2312" max="2312" width="22.28515625" style="455" bestFit="1" customWidth="1"/>
    <col min="2313" max="2313" width="18.140625" style="455" bestFit="1" customWidth="1"/>
    <col min="2314" max="2560" width="8.85546875" style="455"/>
    <col min="2561" max="2561" width="16.7109375" style="455" bestFit="1" customWidth="1"/>
    <col min="2562" max="2563" width="27.7109375" style="455" bestFit="1" customWidth="1"/>
    <col min="2564" max="2564" width="13.85546875" style="455" bestFit="1" customWidth="1"/>
    <col min="2565" max="2565" width="9.7109375" style="455" bestFit="1" customWidth="1"/>
    <col min="2566" max="2567" width="13.85546875" style="455" bestFit="1" customWidth="1"/>
    <col min="2568" max="2568" width="22.28515625" style="455" bestFit="1" customWidth="1"/>
    <col min="2569" max="2569" width="18.140625" style="455" bestFit="1" customWidth="1"/>
    <col min="2570" max="2816" width="8.85546875" style="455"/>
    <col min="2817" max="2817" width="16.7109375" style="455" bestFit="1" customWidth="1"/>
    <col min="2818" max="2819" width="27.7109375" style="455" bestFit="1" customWidth="1"/>
    <col min="2820" max="2820" width="13.85546875" style="455" bestFit="1" customWidth="1"/>
    <col min="2821" max="2821" width="9.7109375" style="455" bestFit="1" customWidth="1"/>
    <col min="2822" max="2823" width="13.85546875" style="455" bestFit="1" customWidth="1"/>
    <col min="2824" max="2824" width="22.28515625" style="455" bestFit="1" customWidth="1"/>
    <col min="2825" max="2825" width="18.140625" style="455" bestFit="1" customWidth="1"/>
    <col min="2826" max="3072" width="8.85546875" style="455"/>
    <col min="3073" max="3073" width="16.7109375" style="455" bestFit="1" customWidth="1"/>
    <col min="3074" max="3075" width="27.7109375" style="455" bestFit="1" customWidth="1"/>
    <col min="3076" max="3076" width="13.85546875" style="455" bestFit="1" customWidth="1"/>
    <col min="3077" max="3077" width="9.7109375" style="455" bestFit="1" customWidth="1"/>
    <col min="3078" max="3079" width="13.85546875" style="455" bestFit="1" customWidth="1"/>
    <col min="3080" max="3080" width="22.28515625" style="455" bestFit="1" customWidth="1"/>
    <col min="3081" max="3081" width="18.140625" style="455" bestFit="1" customWidth="1"/>
    <col min="3082" max="3328" width="8.85546875" style="455"/>
    <col min="3329" max="3329" width="16.7109375" style="455" bestFit="1" customWidth="1"/>
    <col min="3330" max="3331" width="27.7109375" style="455" bestFit="1" customWidth="1"/>
    <col min="3332" max="3332" width="13.85546875" style="455" bestFit="1" customWidth="1"/>
    <col min="3333" max="3333" width="9.7109375" style="455" bestFit="1" customWidth="1"/>
    <col min="3334" max="3335" width="13.85546875" style="455" bestFit="1" customWidth="1"/>
    <col min="3336" max="3336" width="22.28515625" style="455" bestFit="1" customWidth="1"/>
    <col min="3337" max="3337" width="18.140625" style="455" bestFit="1" customWidth="1"/>
    <col min="3338" max="3584" width="8.85546875" style="455"/>
    <col min="3585" max="3585" width="16.7109375" style="455" bestFit="1" customWidth="1"/>
    <col min="3586" max="3587" width="27.7109375" style="455" bestFit="1" customWidth="1"/>
    <col min="3588" max="3588" width="13.85546875" style="455" bestFit="1" customWidth="1"/>
    <col min="3589" max="3589" width="9.7109375" style="455" bestFit="1" customWidth="1"/>
    <col min="3590" max="3591" width="13.85546875" style="455" bestFit="1" customWidth="1"/>
    <col min="3592" max="3592" width="22.28515625" style="455" bestFit="1" customWidth="1"/>
    <col min="3593" max="3593" width="18.140625" style="455" bestFit="1" customWidth="1"/>
    <col min="3594" max="3840" width="8.85546875" style="455"/>
    <col min="3841" max="3841" width="16.7109375" style="455" bestFit="1" customWidth="1"/>
    <col min="3842" max="3843" width="27.7109375" style="455" bestFit="1" customWidth="1"/>
    <col min="3844" max="3844" width="13.85546875" style="455" bestFit="1" customWidth="1"/>
    <col min="3845" max="3845" width="9.7109375" style="455" bestFit="1" customWidth="1"/>
    <col min="3846" max="3847" width="13.85546875" style="455" bestFit="1" customWidth="1"/>
    <col min="3848" max="3848" width="22.28515625" style="455" bestFit="1" customWidth="1"/>
    <col min="3849" max="3849" width="18.140625" style="455" bestFit="1" customWidth="1"/>
    <col min="3850" max="4096" width="8.85546875" style="455"/>
    <col min="4097" max="4097" width="16.7109375" style="455" bestFit="1" customWidth="1"/>
    <col min="4098" max="4099" width="27.7109375" style="455" bestFit="1" customWidth="1"/>
    <col min="4100" max="4100" width="13.85546875" style="455" bestFit="1" customWidth="1"/>
    <col min="4101" max="4101" width="9.7109375" style="455" bestFit="1" customWidth="1"/>
    <col min="4102" max="4103" width="13.85546875" style="455" bestFit="1" customWidth="1"/>
    <col min="4104" max="4104" width="22.28515625" style="455" bestFit="1" customWidth="1"/>
    <col min="4105" max="4105" width="18.140625" style="455" bestFit="1" customWidth="1"/>
    <col min="4106" max="4352" width="8.85546875" style="455"/>
    <col min="4353" max="4353" width="16.7109375" style="455" bestFit="1" customWidth="1"/>
    <col min="4354" max="4355" width="27.7109375" style="455" bestFit="1" customWidth="1"/>
    <col min="4356" max="4356" width="13.85546875" style="455" bestFit="1" customWidth="1"/>
    <col min="4357" max="4357" width="9.7109375" style="455" bestFit="1" customWidth="1"/>
    <col min="4358" max="4359" width="13.85546875" style="455" bestFit="1" customWidth="1"/>
    <col min="4360" max="4360" width="22.28515625" style="455" bestFit="1" customWidth="1"/>
    <col min="4361" max="4361" width="18.140625" style="455" bestFit="1" customWidth="1"/>
    <col min="4362" max="4608" width="8.85546875" style="455"/>
    <col min="4609" max="4609" width="16.7109375" style="455" bestFit="1" customWidth="1"/>
    <col min="4610" max="4611" width="27.7109375" style="455" bestFit="1" customWidth="1"/>
    <col min="4612" max="4612" width="13.85546875" style="455" bestFit="1" customWidth="1"/>
    <col min="4613" max="4613" width="9.7109375" style="455" bestFit="1" customWidth="1"/>
    <col min="4614" max="4615" width="13.85546875" style="455" bestFit="1" customWidth="1"/>
    <col min="4616" max="4616" width="22.28515625" style="455" bestFit="1" customWidth="1"/>
    <col min="4617" max="4617" width="18.140625" style="455" bestFit="1" customWidth="1"/>
    <col min="4618" max="4864" width="8.85546875" style="455"/>
    <col min="4865" max="4865" width="16.7109375" style="455" bestFit="1" customWidth="1"/>
    <col min="4866" max="4867" width="27.7109375" style="455" bestFit="1" customWidth="1"/>
    <col min="4868" max="4868" width="13.85546875" style="455" bestFit="1" customWidth="1"/>
    <col min="4869" max="4869" width="9.7109375" style="455" bestFit="1" customWidth="1"/>
    <col min="4870" max="4871" width="13.85546875" style="455" bestFit="1" customWidth="1"/>
    <col min="4872" max="4872" width="22.28515625" style="455" bestFit="1" customWidth="1"/>
    <col min="4873" max="4873" width="18.140625" style="455" bestFit="1" customWidth="1"/>
    <col min="4874" max="5120" width="8.85546875" style="455"/>
    <col min="5121" max="5121" width="16.7109375" style="455" bestFit="1" customWidth="1"/>
    <col min="5122" max="5123" width="27.7109375" style="455" bestFit="1" customWidth="1"/>
    <col min="5124" max="5124" width="13.85546875" style="455" bestFit="1" customWidth="1"/>
    <col min="5125" max="5125" width="9.7109375" style="455" bestFit="1" customWidth="1"/>
    <col min="5126" max="5127" width="13.85546875" style="455" bestFit="1" customWidth="1"/>
    <col min="5128" max="5128" width="22.28515625" style="455" bestFit="1" customWidth="1"/>
    <col min="5129" max="5129" width="18.140625" style="455" bestFit="1" customWidth="1"/>
    <col min="5130" max="5376" width="8.85546875" style="455"/>
    <col min="5377" max="5377" width="16.7109375" style="455" bestFit="1" customWidth="1"/>
    <col min="5378" max="5379" width="27.7109375" style="455" bestFit="1" customWidth="1"/>
    <col min="5380" max="5380" width="13.85546875" style="455" bestFit="1" customWidth="1"/>
    <col min="5381" max="5381" width="9.7109375" style="455" bestFit="1" customWidth="1"/>
    <col min="5382" max="5383" width="13.85546875" style="455" bestFit="1" customWidth="1"/>
    <col min="5384" max="5384" width="22.28515625" style="455" bestFit="1" customWidth="1"/>
    <col min="5385" max="5385" width="18.140625" style="455" bestFit="1" customWidth="1"/>
    <col min="5386" max="5632" width="8.85546875" style="455"/>
    <col min="5633" max="5633" width="16.7109375" style="455" bestFit="1" customWidth="1"/>
    <col min="5634" max="5635" width="27.7109375" style="455" bestFit="1" customWidth="1"/>
    <col min="5636" max="5636" width="13.85546875" style="455" bestFit="1" customWidth="1"/>
    <col min="5637" max="5637" width="9.7109375" style="455" bestFit="1" customWidth="1"/>
    <col min="5638" max="5639" width="13.85546875" style="455" bestFit="1" customWidth="1"/>
    <col min="5640" max="5640" width="22.28515625" style="455" bestFit="1" customWidth="1"/>
    <col min="5641" max="5641" width="18.140625" style="455" bestFit="1" customWidth="1"/>
    <col min="5642" max="5888" width="8.85546875" style="455"/>
    <col min="5889" max="5889" width="16.7109375" style="455" bestFit="1" customWidth="1"/>
    <col min="5890" max="5891" width="27.7109375" style="455" bestFit="1" customWidth="1"/>
    <col min="5892" max="5892" width="13.85546875" style="455" bestFit="1" customWidth="1"/>
    <col min="5893" max="5893" width="9.7109375" style="455" bestFit="1" customWidth="1"/>
    <col min="5894" max="5895" width="13.85546875" style="455" bestFit="1" customWidth="1"/>
    <col min="5896" max="5896" width="22.28515625" style="455" bestFit="1" customWidth="1"/>
    <col min="5897" max="5897" width="18.140625" style="455" bestFit="1" customWidth="1"/>
    <col min="5898" max="6144" width="8.85546875" style="455"/>
    <col min="6145" max="6145" width="16.7109375" style="455" bestFit="1" customWidth="1"/>
    <col min="6146" max="6147" width="27.7109375" style="455" bestFit="1" customWidth="1"/>
    <col min="6148" max="6148" width="13.85546875" style="455" bestFit="1" customWidth="1"/>
    <col min="6149" max="6149" width="9.7109375" style="455" bestFit="1" customWidth="1"/>
    <col min="6150" max="6151" width="13.85546875" style="455" bestFit="1" customWidth="1"/>
    <col min="6152" max="6152" width="22.28515625" style="455" bestFit="1" customWidth="1"/>
    <col min="6153" max="6153" width="18.140625" style="455" bestFit="1" customWidth="1"/>
    <col min="6154" max="6400" width="8.85546875" style="455"/>
    <col min="6401" max="6401" width="16.7109375" style="455" bestFit="1" customWidth="1"/>
    <col min="6402" max="6403" width="27.7109375" style="455" bestFit="1" customWidth="1"/>
    <col min="6404" max="6404" width="13.85546875" style="455" bestFit="1" customWidth="1"/>
    <col min="6405" max="6405" width="9.7109375" style="455" bestFit="1" customWidth="1"/>
    <col min="6406" max="6407" width="13.85546875" style="455" bestFit="1" customWidth="1"/>
    <col min="6408" max="6408" width="22.28515625" style="455" bestFit="1" customWidth="1"/>
    <col min="6409" max="6409" width="18.140625" style="455" bestFit="1" customWidth="1"/>
    <col min="6410" max="6656" width="8.85546875" style="455"/>
    <col min="6657" max="6657" width="16.7109375" style="455" bestFit="1" customWidth="1"/>
    <col min="6658" max="6659" width="27.7109375" style="455" bestFit="1" customWidth="1"/>
    <col min="6660" max="6660" width="13.85546875" style="455" bestFit="1" customWidth="1"/>
    <col min="6661" max="6661" width="9.7109375" style="455" bestFit="1" customWidth="1"/>
    <col min="6662" max="6663" width="13.85546875" style="455" bestFit="1" customWidth="1"/>
    <col min="6664" max="6664" width="22.28515625" style="455" bestFit="1" customWidth="1"/>
    <col min="6665" max="6665" width="18.140625" style="455" bestFit="1" customWidth="1"/>
    <col min="6666" max="6912" width="8.85546875" style="455"/>
    <col min="6913" max="6913" width="16.7109375" style="455" bestFit="1" customWidth="1"/>
    <col min="6914" max="6915" width="27.7109375" style="455" bestFit="1" customWidth="1"/>
    <col min="6916" max="6916" width="13.85546875" style="455" bestFit="1" customWidth="1"/>
    <col min="6917" max="6917" width="9.7109375" style="455" bestFit="1" customWidth="1"/>
    <col min="6918" max="6919" width="13.85546875" style="455" bestFit="1" customWidth="1"/>
    <col min="6920" max="6920" width="22.28515625" style="455" bestFit="1" customWidth="1"/>
    <col min="6921" max="6921" width="18.140625" style="455" bestFit="1" customWidth="1"/>
    <col min="6922" max="7168" width="8.85546875" style="455"/>
    <col min="7169" max="7169" width="16.7109375" style="455" bestFit="1" customWidth="1"/>
    <col min="7170" max="7171" width="27.7109375" style="455" bestFit="1" customWidth="1"/>
    <col min="7172" max="7172" width="13.85546875" style="455" bestFit="1" customWidth="1"/>
    <col min="7173" max="7173" width="9.7109375" style="455" bestFit="1" customWidth="1"/>
    <col min="7174" max="7175" width="13.85546875" style="455" bestFit="1" customWidth="1"/>
    <col min="7176" max="7176" width="22.28515625" style="455" bestFit="1" customWidth="1"/>
    <col min="7177" max="7177" width="18.140625" style="455" bestFit="1" customWidth="1"/>
    <col min="7178" max="7424" width="8.85546875" style="455"/>
    <col min="7425" max="7425" width="16.7109375" style="455" bestFit="1" customWidth="1"/>
    <col min="7426" max="7427" width="27.7109375" style="455" bestFit="1" customWidth="1"/>
    <col min="7428" max="7428" width="13.85546875" style="455" bestFit="1" customWidth="1"/>
    <col min="7429" max="7429" width="9.7109375" style="455" bestFit="1" customWidth="1"/>
    <col min="7430" max="7431" width="13.85546875" style="455" bestFit="1" customWidth="1"/>
    <col min="7432" max="7432" width="22.28515625" style="455" bestFit="1" customWidth="1"/>
    <col min="7433" max="7433" width="18.140625" style="455" bestFit="1" customWidth="1"/>
    <col min="7434" max="7680" width="8.85546875" style="455"/>
    <col min="7681" max="7681" width="16.7109375" style="455" bestFit="1" customWidth="1"/>
    <col min="7682" max="7683" width="27.7109375" style="455" bestFit="1" customWidth="1"/>
    <col min="7684" max="7684" width="13.85546875" style="455" bestFit="1" customWidth="1"/>
    <col min="7685" max="7685" width="9.7109375" style="455" bestFit="1" customWidth="1"/>
    <col min="7686" max="7687" width="13.85546875" style="455" bestFit="1" customWidth="1"/>
    <col min="7688" max="7688" width="22.28515625" style="455" bestFit="1" customWidth="1"/>
    <col min="7689" max="7689" width="18.140625" style="455" bestFit="1" customWidth="1"/>
    <col min="7690" max="7936" width="8.85546875" style="455"/>
    <col min="7937" max="7937" width="16.7109375" style="455" bestFit="1" customWidth="1"/>
    <col min="7938" max="7939" width="27.7109375" style="455" bestFit="1" customWidth="1"/>
    <col min="7940" max="7940" width="13.85546875" style="455" bestFit="1" customWidth="1"/>
    <col min="7941" max="7941" width="9.7109375" style="455" bestFit="1" customWidth="1"/>
    <col min="7942" max="7943" width="13.85546875" style="455" bestFit="1" customWidth="1"/>
    <col min="7944" max="7944" width="22.28515625" style="455" bestFit="1" customWidth="1"/>
    <col min="7945" max="7945" width="18.140625" style="455" bestFit="1" customWidth="1"/>
    <col min="7946" max="8192" width="8.85546875" style="455"/>
    <col min="8193" max="8193" width="16.7109375" style="455" bestFit="1" customWidth="1"/>
    <col min="8194" max="8195" width="27.7109375" style="455" bestFit="1" customWidth="1"/>
    <col min="8196" max="8196" width="13.85546875" style="455" bestFit="1" customWidth="1"/>
    <col min="8197" max="8197" width="9.7109375" style="455" bestFit="1" customWidth="1"/>
    <col min="8198" max="8199" width="13.85546875" style="455" bestFit="1" customWidth="1"/>
    <col min="8200" max="8200" width="22.28515625" style="455" bestFit="1" customWidth="1"/>
    <col min="8201" max="8201" width="18.140625" style="455" bestFit="1" customWidth="1"/>
    <col min="8202" max="8448" width="8.85546875" style="455"/>
    <col min="8449" max="8449" width="16.7109375" style="455" bestFit="1" customWidth="1"/>
    <col min="8450" max="8451" width="27.7109375" style="455" bestFit="1" customWidth="1"/>
    <col min="8452" max="8452" width="13.85546875" style="455" bestFit="1" customWidth="1"/>
    <col min="8453" max="8453" width="9.7109375" style="455" bestFit="1" customWidth="1"/>
    <col min="8454" max="8455" width="13.85546875" style="455" bestFit="1" customWidth="1"/>
    <col min="8456" max="8456" width="22.28515625" style="455" bestFit="1" customWidth="1"/>
    <col min="8457" max="8457" width="18.140625" style="455" bestFit="1" customWidth="1"/>
    <col min="8458" max="8704" width="8.85546875" style="455"/>
    <col min="8705" max="8705" width="16.7109375" style="455" bestFit="1" customWidth="1"/>
    <col min="8706" max="8707" width="27.7109375" style="455" bestFit="1" customWidth="1"/>
    <col min="8708" max="8708" width="13.85546875" style="455" bestFit="1" customWidth="1"/>
    <col min="8709" max="8709" width="9.7109375" style="455" bestFit="1" customWidth="1"/>
    <col min="8710" max="8711" width="13.85546875" style="455" bestFit="1" customWidth="1"/>
    <col min="8712" max="8712" width="22.28515625" style="455" bestFit="1" customWidth="1"/>
    <col min="8713" max="8713" width="18.140625" style="455" bestFit="1" customWidth="1"/>
    <col min="8714" max="8960" width="8.85546875" style="455"/>
    <col min="8961" max="8961" width="16.7109375" style="455" bestFit="1" customWidth="1"/>
    <col min="8962" max="8963" width="27.7109375" style="455" bestFit="1" customWidth="1"/>
    <col min="8964" max="8964" width="13.85546875" style="455" bestFit="1" customWidth="1"/>
    <col min="8965" max="8965" width="9.7109375" style="455" bestFit="1" customWidth="1"/>
    <col min="8966" max="8967" width="13.85546875" style="455" bestFit="1" customWidth="1"/>
    <col min="8968" max="8968" width="22.28515625" style="455" bestFit="1" customWidth="1"/>
    <col min="8969" max="8969" width="18.140625" style="455" bestFit="1" customWidth="1"/>
    <col min="8970" max="9216" width="8.85546875" style="455"/>
    <col min="9217" max="9217" width="16.7109375" style="455" bestFit="1" customWidth="1"/>
    <col min="9218" max="9219" width="27.7109375" style="455" bestFit="1" customWidth="1"/>
    <col min="9220" max="9220" width="13.85546875" style="455" bestFit="1" customWidth="1"/>
    <col min="9221" max="9221" width="9.7109375" style="455" bestFit="1" customWidth="1"/>
    <col min="9222" max="9223" width="13.85546875" style="455" bestFit="1" customWidth="1"/>
    <col min="9224" max="9224" width="22.28515625" style="455" bestFit="1" customWidth="1"/>
    <col min="9225" max="9225" width="18.140625" style="455" bestFit="1" customWidth="1"/>
    <col min="9226" max="9472" width="8.85546875" style="455"/>
    <col min="9473" max="9473" width="16.7109375" style="455" bestFit="1" customWidth="1"/>
    <col min="9474" max="9475" width="27.7109375" style="455" bestFit="1" customWidth="1"/>
    <col min="9476" max="9476" width="13.85546875" style="455" bestFit="1" customWidth="1"/>
    <col min="9477" max="9477" width="9.7109375" style="455" bestFit="1" customWidth="1"/>
    <col min="9478" max="9479" width="13.85546875" style="455" bestFit="1" customWidth="1"/>
    <col min="9480" max="9480" width="22.28515625" style="455" bestFit="1" customWidth="1"/>
    <col min="9481" max="9481" width="18.140625" style="455" bestFit="1" customWidth="1"/>
    <col min="9482" max="9728" width="8.85546875" style="455"/>
    <col min="9729" max="9729" width="16.7109375" style="455" bestFit="1" customWidth="1"/>
    <col min="9730" max="9731" width="27.7109375" style="455" bestFit="1" customWidth="1"/>
    <col min="9732" max="9732" width="13.85546875" style="455" bestFit="1" customWidth="1"/>
    <col min="9733" max="9733" width="9.7109375" style="455" bestFit="1" customWidth="1"/>
    <col min="9734" max="9735" width="13.85546875" style="455" bestFit="1" customWidth="1"/>
    <col min="9736" max="9736" width="22.28515625" style="455" bestFit="1" customWidth="1"/>
    <col min="9737" max="9737" width="18.140625" style="455" bestFit="1" customWidth="1"/>
    <col min="9738" max="9984" width="8.85546875" style="455"/>
    <col min="9985" max="9985" width="16.7109375" style="455" bestFit="1" customWidth="1"/>
    <col min="9986" max="9987" width="27.7109375" style="455" bestFit="1" customWidth="1"/>
    <col min="9988" max="9988" width="13.85546875" style="455" bestFit="1" customWidth="1"/>
    <col min="9989" max="9989" width="9.7109375" style="455" bestFit="1" customWidth="1"/>
    <col min="9990" max="9991" width="13.85546875" style="455" bestFit="1" customWidth="1"/>
    <col min="9992" max="9992" width="22.28515625" style="455" bestFit="1" customWidth="1"/>
    <col min="9993" max="9993" width="18.140625" style="455" bestFit="1" customWidth="1"/>
    <col min="9994" max="10240" width="8.85546875" style="455"/>
    <col min="10241" max="10241" width="16.7109375" style="455" bestFit="1" customWidth="1"/>
    <col min="10242" max="10243" width="27.7109375" style="455" bestFit="1" customWidth="1"/>
    <col min="10244" max="10244" width="13.85546875" style="455" bestFit="1" customWidth="1"/>
    <col min="10245" max="10245" width="9.7109375" style="455" bestFit="1" customWidth="1"/>
    <col min="10246" max="10247" width="13.85546875" style="455" bestFit="1" customWidth="1"/>
    <col min="10248" max="10248" width="22.28515625" style="455" bestFit="1" customWidth="1"/>
    <col min="10249" max="10249" width="18.140625" style="455" bestFit="1" customWidth="1"/>
    <col min="10250" max="10496" width="8.85546875" style="455"/>
    <col min="10497" max="10497" width="16.7109375" style="455" bestFit="1" customWidth="1"/>
    <col min="10498" max="10499" width="27.7109375" style="455" bestFit="1" customWidth="1"/>
    <col min="10500" max="10500" width="13.85546875" style="455" bestFit="1" customWidth="1"/>
    <col min="10501" max="10501" width="9.7109375" style="455" bestFit="1" customWidth="1"/>
    <col min="10502" max="10503" width="13.85546875" style="455" bestFit="1" customWidth="1"/>
    <col min="10504" max="10504" width="22.28515625" style="455" bestFit="1" customWidth="1"/>
    <col min="10505" max="10505" width="18.140625" style="455" bestFit="1" customWidth="1"/>
    <col min="10506" max="10752" width="8.85546875" style="455"/>
    <col min="10753" max="10753" width="16.7109375" style="455" bestFit="1" customWidth="1"/>
    <col min="10754" max="10755" width="27.7109375" style="455" bestFit="1" customWidth="1"/>
    <col min="10756" max="10756" width="13.85546875" style="455" bestFit="1" customWidth="1"/>
    <col min="10757" max="10757" width="9.7109375" style="455" bestFit="1" customWidth="1"/>
    <col min="10758" max="10759" width="13.85546875" style="455" bestFit="1" customWidth="1"/>
    <col min="10760" max="10760" width="22.28515625" style="455" bestFit="1" customWidth="1"/>
    <col min="10761" max="10761" width="18.140625" style="455" bestFit="1" customWidth="1"/>
    <col min="10762" max="11008" width="8.85546875" style="455"/>
    <col min="11009" max="11009" width="16.7109375" style="455" bestFit="1" customWidth="1"/>
    <col min="11010" max="11011" width="27.7109375" style="455" bestFit="1" customWidth="1"/>
    <col min="11012" max="11012" width="13.85546875" style="455" bestFit="1" customWidth="1"/>
    <col min="11013" max="11013" width="9.7109375" style="455" bestFit="1" customWidth="1"/>
    <col min="11014" max="11015" width="13.85546875" style="455" bestFit="1" customWidth="1"/>
    <col min="11016" max="11016" width="22.28515625" style="455" bestFit="1" customWidth="1"/>
    <col min="11017" max="11017" width="18.140625" style="455" bestFit="1" customWidth="1"/>
    <col min="11018" max="11264" width="8.85546875" style="455"/>
    <col min="11265" max="11265" width="16.7109375" style="455" bestFit="1" customWidth="1"/>
    <col min="11266" max="11267" width="27.7109375" style="455" bestFit="1" customWidth="1"/>
    <col min="11268" max="11268" width="13.85546875" style="455" bestFit="1" customWidth="1"/>
    <col min="11269" max="11269" width="9.7109375" style="455" bestFit="1" customWidth="1"/>
    <col min="11270" max="11271" width="13.85546875" style="455" bestFit="1" customWidth="1"/>
    <col min="11272" max="11272" width="22.28515625" style="455" bestFit="1" customWidth="1"/>
    <col min="11273" max="11273" width="18.140625" style="455" bestFit="1" customWidth="1"/>
    <col min="11274" max="11520" width="8.85546875" style="455"/>
    <col min="11521" max="11521" width="16.7109375" style="455" bestFit="1" customWidth="1"/>
    <col min="11522" max="11523" width="27.7109375" style="455" bestFit="1" customWidth="1"/>
    <col min="11524" max="11524" width="13.85546875" style="455" bestFit="1" customWidth="1"/>
    <col min="11525" max="11525" width="9.7109375" style="455" bestFit="1" customWidth="1"/>
    <col min="11526" max="11527" width="13.85546875" style="455" bestFit="1" customWidth="1"/>
    <col min="11528" max="11528" width="22.28515625" style="455" bestFit="1" customWidth="1"/>
    <col min="11529" max="11529" width="18.140625" style="455" bestFit="1" customWidth="1"/>
    <col min="11530" max="11776" width="8.85546875" style="455"/>
    <col min="11777" max="11777" width="16.7109375" style="455" bestFit="1" customWidth="1"/>
    <col min="11778" max="11779" width="27.7109375" style="455" bestFit="1" customWidth="1"/>
    <col min="11780" max="11780" width="13.85546875" style="455" bestFit="1" customWidth="1"/>
    <col min="11781" max="11781" width="9.7109375" style="455" bestFit="1" customWidth="1"/>
    <col min="11782" max="11783" width="13.85546875" style="455" bestFit="1" customWidth="1"/>
    <col min="11784" max="11784" width="22.28515625" style="455" bestFit="1" customWidth="1"/>
    <col min="11785" max="11785" width="18.140625" style="455" bestFit="1" customWidth="1"/>
    <col min="11786" max="12032" width="8.85546875" style="455"/>
    <col min="12033" max="12033" width="16.7109375" style="455" bestFit="1" customWidth="1"/>
    <col min="12034" max="12035" width="27.7109375" style="455" bestFit="1" customWidth="1"/>
    <col min="12036" max="12036" width="13.85546875" style="455" bestFit="1" customWidth="1"/>
    <col min="12037" max="12037" width="9.7109375" style="455" bestFit="1" customWidth="1"/>
    <col min="12038" max="12039" width="13.85546875" style="455" bestFit="1" customWidth="1"/>
    <col min="12040" max="12040" width="22.28515625" style="455" bestFit="1" customWidth="1"/>
    <col min="12041" max="12041" width="18.140625" style="455" bestFit="1" customWidth="1"/>
    <col min="12042" max="12288" width="8.85546875" style="455"/>
    <col min="12289" max="12289" width="16.7109375" style="455" bestFit="1" customWidth="1"/>
    <col min="12290" max="12291" width="27.7109375" style="455" bestFit="1" customWidth="1"/>
    <col min="12292" max="12292" width="13.85546875" style="455" bestFit="1" customWidth="1"/>
    <col min="12293" max="12293" width="9.7109375" style="455" bestFit="1" customWidth="1"/>
    <col min="12294" max="12295" width="13.85546875" style="455" bestFit="1" customWidth="1"/>
    <col min="12296" max="12296" width="22.28515625" style="455" bestFit="1" customWidth="1"/>
    <col min="12297" max="12297" width="18.140625" style="455" bestFit="1" customWidth="1"/>
    <col min="12298" max="12544" width="8.85546875" style="455"/>
    <col min="12545" max="12545" width="16.7109375" style="455" bestFit="1" customWidth="1"/>
    <col min="12546" max="12547" width="27.7109375" style="455" bestFit="1" customWidth="1"/>
    <col min="12548" max="12548" width="13.85546875" style="455" bestFit="1" customWidth="1"/>
    <col min="12549" max="12549" width="9.7109375" style="455" bestFit="1" customWidth="1"/>
    <col min="12550" max="12551" width="13.85546875" style="455" bestFit="1" customWidth="1"/>
    <col min="12552" max="12552" width="22.28515625" style="455" bestFit="1" customWidth="1"/>
    <col min="12553" max="12553" width="18.140625" style="455" bestFit="1" customWidth="1"/>
    <col min="12554" max="12800" width="8.85546875" style="455"/>
    <col min="12801" max="12801" width="16.7109375" style="455" bestFit="1" customWidth="1"/>
    <col min="12802" max="12803" width="27.7109375" style="455" bestFit="1" customWidth="1"/>
    <col min="12804" max="12804" width="13.85546875" style="455" bestFit="1" customWidth="1"/>
    <col min="12805" max="12805" width="9.7109375" style="455" bestFit="1" customWidth="1"/>
    <col min="12806" max="12807" width="13.85546875" style="455" bestFit="1" customWidth="1"/>
    <col min="12808" max="12808" width="22.28515625" style="455" bestFit="1" customWidth="1"/>
    <col min="12809" max="12809" width="18.140625" style="455" bestFit="1" customWidth="1"/>
    <col min="12810" max="13056" width="8.85546875" style="455"/>
    <col min="13057" max="13057" width="16.7109375" style="455" bestFit="1" customWidth="1"/>
    <col min="13058" max="13059" width="27.7109375" style="455" bestFit="1" customWidth="1"/>
    <col min="13060" max="13060" width="13.85546875" style="455" bestFit="1" customWidth="1"/>
    <col min="13061" max="13061" width="9.7109375" style="455" bestFit="1" customWidth="1"/>
    <col min="13062" max="13063" width="13.85546875" style="455" bestFit="1" customWidth="1"/>
    <col min="13064" max="13064" width="22.28515625" style="455" bestFit="1" customWidth="1"/>
    <col min="13065" max="13065" width="18.140625" style="455" bestFit="1" customWidth="1"/>
    <col min="13066" max="13312" width="8.85546875" style="455"/>
    <col min="13313" max="13313" width="16.7109375" style="455" bestFit="1" customWidth="1"/>
    <col min="13314" max="13315" width="27.7109375" style="455" bestFit="1" customWidth="1"/>
    <col min="13316" max="13316" width="13.85546875" style="455" bestFit="1" customWidth="1"/>
    <col min="13317" max="13317" width="9.7109375" style="455" bestFit="1" customWidth="1"/>
    <col min="13318" max="13319" width="13.85546875" style="455" bestFit="1" customWidth="1"/>
    <col min="13320" max="13320" width="22.28515625" style="455" bestFit="1" customWidth="1"/>
    <col min="13321" max="13321" width="18.140625" style="455" bestFit="1" customWidth="1"/>
    <col min="13322" max="13568" width="8.85546875" style="455"/>
    <col min="13569" max="13569" width="16.7109375" style="455" bestFit="1" customWidth="1"/>
    <col min="13570" max="13571" width="27.7109375" style="455" bestFit="1" customWidth="1"/>
    <col min="13572" max="13572" width="13.85546875" style="455" bestFit="1" customWidth="1"/>
    <col min="13573" max="13573" width="9.7109375" style="455" bestFit="1" customWidth="1"/>
    <col min="13574" max="13575" width="13.85546875" style="455" bestFit="1" customWidth="1"/>
    <col min="13576" max="13576" width="22.28515625" style="455" bestFit="1" customWidth="1"/>
    <col min="13577" max="13577" width="18.140625" style="455" bestFit="1" customWidth="1"/>
    <col min="13578" max="13824" width="8.85546875" style="455"/>
    <col min="13825" max="13825" width="16.7109375" style="455" bestFit="1" customWidth="1"/>
    <col min="13826" max="13827" width="27.7109375" style="455" bestFit="1" customWidth="1"/>
    <col min="13828" max="13828" width="13.85546875" style="455" bestFit="1" customWidth="1"/>
    <col min="13829" max="13829" width="9.7109375" style="455" bestFit="1" customWidth="1"/>
    <col min="13830" max="13831" width="13.85546875" style="455" bestFit="1" customWidth="1"/>
    <col min="13832" max="13832" width="22.28515625" style="455" bestFit="1" customWidth="1"/>
    <col min="13833" max="13833" width="18.140625" style="455" bestFit="1" customWidth="1"/>
    <col min="13834" max="14080" width="8.85546875" style="455"/>
    <col min="14081" max="14081" width="16.7109375" style="455" bestFit="1" customWidth="1"/>
    <col min="14082" max="14083" width="27.7109375" style="455" bestFit="1" customWidth="1"/>
    <col min="14084" max="14084" width="13.85546875" style="455" bestFit="1" customWidth="1"/>
    <col min="14085" max="14085" width="9.7109375" style="455" bestFit="1" customWidth="1"/>
    <col min="14086" max="14087" width="13.85546875" style="455" bestFit="1" customWidth="1"/>
    <col min="14088" max="14088" width="22.28515625" style="455" bestFit="1" customWidth="1"/>
    <col min="14089" max="14089" width="18.140625" style="455" bestFit="1" customWidth="1"/>
    <col min="14090" max="14336" width="8.85546875" style="455"/>
    <col min="14337" max="14337" width="16.7109375" style="455" bestFit="1" customWidth="1"/>
    <col min="14338" max="14339" width="27.7109375" style="455" bestFit="1" customWidth="1"/>
    <col min="14340" max="14340" width="13.85546875" style="455" bestFit="1" customWidth="1"/>
    <col min="14341" max="14341" width="9.7109375" style="455" bestFit="1" customWidth="1"/>
    <col min="14342" max="14343" width="13.85546875" style="455" bestFit="1" customWidth="1"/>
    <col min="14344" max="14344" width="22.28515625" style="455" bestFit="1" customWidth="1"/>
    <col min="14345" max="14345" width="18.140625" style="455" bestFit="1" customWidth="1"/>
    <col min="14346" max="14592" width="8.85546875" style="455"/>
    <col min="14593" max="14593" width="16.7109375" style="455" bestFit="1" customWidth="1"/>
    <col min="14594" max="14595" width="27.7109375" style="455" bestFit="1" customWidth="1"/>
    <col min="14596" max="14596" width="13.85546875" style="455" bestFit="1" customWidth="1"/>
    <col min="14597" max="14597" width="9.7109375" style="455" bestFit="1" customWidth="1"/>
    <col min="14598" max="14599" width="13.85546875" style="455" bestFit="1" customWidth="1"/>
    <col min="14600" max="14600" width="22.28515625" style="455" bestFit="1" customWidth="1"/>
    <col min="14601" max="14601" width="18.140625" style="455" bestFit="1" customWidth="1"/>
    <col min="14602" max="14848" width="8.85546875" style="455"/>
    <col min="14849" max="14849" width="16.7109375" style="455" bestFit="1" customWidth="1"/>
    <col min="14850" max="14851" width="27.7109375" style="455" bestFit="1" customWidth="1"/>
    <col min="14852" max="14852" width="13.85546875" style="455" bestFit="1" customWidth="1"/>
    <col min="14853" max="14853" width="9.7109375" style="455" bestFit="1" customWidth="1"/>
    <col min="14854" max="14855" width="13.85546875" style="455" bestFit="1" customWidth="1"/>
    <col min="14856" max="14856" width="22.28515625" style="455" bestFit="1" customWidth="1"/>
    <col min="14857" max="14857" width="18.140625" style="455" bestFit="1" customWidth="1"/>
    <col min="14858" max="15104" width="8.85546875" style="455"/>
    <col min="15105" max="15105" width="16.7109375" style="455" bestFit="1" customWidth="1"/>
    <col min="15106" max="15107" width="27.7109375" style="455" bestFit="1" customWidth="1"/>
    <col min="15108" max="15108" width="13.85546875" style="455" bestFit="1" customWidth="1"/>
    <col min="15109" max="15109" width="9.7109375" style="455" bestFit="1" customWidth="1"/>
    <col min="15110" max="15111" width="13.85546875" style="455" bestFit="1" customWidth="1"/>
    <col min="15112" max="15112" width="22.28515625" style="455" bestFit="1" customWidth="1"/>
    <col min="15113" max="15113" width="18.140625" style="455" bestFit="1" customWidth="1"/>
    <col min="15114" max="15360" width="8.85546875" style="455"/>
    <col min="15361" max="15361" width="16.7109375" style="455" bestFit="1" customWidth="1"/>
    <col min="15362" max="15363" width="27.7109375" style="455" bestFit="1" customWidth="1"/>
    <col min="15364" max="15364" width="13.85546875" style="455" bestFit="1" customWidth="1"/>
    <col min="15365" max="15365" width="9.7109375" style="455" bestFit="1" customWidth="1"/>
    <col min="15366" max="15367" width="13.85546875" style="455" bestFit="1" customWidth="1"/>
    <col min="15368" max="15368" width="22.28515625" style="455" bestFit="1" customWidth="1"/>
    <col min="15369" max="15369" width="18.140625" style="455" bestFit="1" customWidth="1"/>
    <col min="15370" max="15616" width="8.85546875" style="455"/>
    <col min="15617" max="15617" width="16.7109375" style="455" bestFit="1" customWidth="1"/>
    <col min="15618" max="15619" width="27.7109375" style="455" bestFit="1" customWidth="1"/>
    <col min="15620" max="15620" width="13.85546875" style="455" bestFit="1" customWidth="1"/>
    <col min="15621" max="15621" width="9.7109375" style="455" bestFit="1" customWidth="1"/>
    <col min="15622" max="15623" width="13.85546875" style="455" bestFit="1" customWidth="1"/>
    <col min="15624" max="15624" width="22.28515625" style="455" bestFit="1" customWidth="1"/>
    <col min="15625" max="15625" width="18.140625" style="455" bestFit="1" customWidth="1"/>
    <col min="15626" max="15872" width="8.85546875" style="455"/>
    <col min="15873" max="15873" width="16.7109375" style="455" bestFit="1" customWidth="1"/>
    <col min="15874" max="15875" width="27.7109375" style="455" bestFit="1" customWidth="1"/>
    <col min="15876" max="15876" width="13.85546875" style="455" bestFit="1" customWidth="1"/>
    <col min="15877" max="15877" width="9.7109375" style="455" bestFit="1" customWidth="1"/>
    <col min="15878" max="15879" width="13.85546875" style="455" bestFit="1" customWidth="1"/>
    <col min="15880" max="15880" width="22.28515625" style="455" bestFit="1" customWidth="1"/>
    <col min="15881" max="15881" width="18.140625" style="455" bestFit="1" customWidth="1"/>
    <col min="15882" max="16128" width="8.85546875" style="455"/>
    <col min="16129" max="16129" width="16.7109375" style="455" bestFit="1" customWidth="1"/>
    <col min="16130" max="16131" width="27.7109375" style="455" bestFit="1" customWidth="1"/>
    <col min="16132" max="16132" width="13.85546875" style="455" bestFit="1" customWidth="1"/>
    <col min="16133" max="16133" width="9.7109375" style="455" bestFit="1" customWidth="1"/>
    <col min="16134" max="16135" width="13.85546875" style="455" bestFit="1" customWidth="1"/>
    <col min="16136" max="16136" width="22.28515625" style="455" bestFit="1" customWidth="1"/>
    <col min="16137" max="16137" width="18.140625" style="455" bestFit="1" customWidth="1"/>
    <col min="16138" max="16384" width="8.85546875" style="455"/>
  </cols>
  <sheetData>
    <row r="1" spans="1:9" ht="16.149999999999999" customHeight="1">
      <c r="A1" s="698" t="s">
        <v>537</v>
      </c>
      <c r="B1" s="698"/>
      <c r="C1" s="698"/>
      <c r="D1" s="698"/>
      <c r="E1" s="698"/>
      <c r="F1" s="698"/>
      <c r="G1" s="698"/>
      <c r="H1" s="698"/>
      <c r="I1" s="698"/>
    </row>
    <row r="2" spans="1:9" ht="13.9" customHeight="1">
      <c r="A2" s="456"/>
    </row>
    <row r="3" spans="1:9" ht="13.9" customHeight="1">
      <c r="A3" s="457" t="s">
        <v>538</v>
      </c>
      <c r="B3" s="699" t="s">
        <v>539</v>
      </c>
      <c r="C3" s="700"/>
      <c r="D3" s="699" t="s">
        <v>540</v>
      </c>
      <c r="E3" s="700"/>
      <c r="F3" s="699" t="s">
        <v>541</v>
      </c>
      <c r="G3" s="701"/>
      <c r="H3" s="701"/>
      <c r="I3" s="700"/>
    </row>
    <row r="4" spans="1:9" ht="13.9" customHeight="1">
      <c r="A4" s="457" t="s">
        <v>511</v>
      </c>
      <c r="B4" s="457" t="s">
        <v>542</v>
      </c>
      <c r="C4" s="457" t="s">
        <v>543</v>
      </c>
      <c r="D4" s="457" t="s">
        <v>544</v>
      </c>
      <c r="E4" s="457" t="s">
        <v>545</v>
      </c>
      <c r="F4" s="457" t="s">
        <v>546</v>
      </c>
      <c r="G4" s="457" t="s">
        <v>547</v>
      </c>
      <c r="H4" s="457" t="s">
        <v>548</v>
      </c>
      <c r="I4" s="457" t="s">
        <v>549</v>
      </c>
    </row>
    <row r="5" spans="1:9" ht="16.149999999999999" customHeight="1">
      <c r="A5" s="458" t="s">
        <v>550</v>
      </c>
      <c r="B5" s="459">
        <v>174055</v>
      </c>
      <c r="C5" s="459">
        <v>192656</v>
      </c>
      <c r="D5" s="459">
        <v>18601</v>
      </c>
      <c r="E5" s="459">
        <v>10.7</v>
      </c>
      <c r="F5" s="459">
        <v>22424</v>
      </c>
      <c r="G5" s="459">
        <v>20515</v>
      </c>
      <c r="H5" s="459">
        <v>1909</v>
      </c>
      <c r="I5" s="459">
        <v>16692</v>
      </c>
    </row>
    <row r="6" spans="1:9" ht="16.149999999999999" customHeight="1">
      <c r="A6" s="458" t="s">
        <v>551</v>
      </c>
      <c r="B6" s="459">
        <v>38755</v>
      </c>
      <c r="C6" s="459">
        <v>41021</v>
      </c>
      <c r="D6" s="459">
        <v>2266</v>
      </c>
      <c r="E6" s="459">
        <v>5.8</v>
      </c>
      <c r="F6" s="459">
        <v>4076</v>
      </c>
      <c r="G6" s="459">
        <v>5187</v>
      </c>
      <c r="H6" s="459">
        <v>-1111</v>
      </c>
      <c r="I6" s="459">
        <v>3377</v>
      </c>
    </row>
    <row r="7" spans="1:9" ht="16.149999999999999" customHeight="1">
      <c r="A7" s="458" t="s">
        <v>552</v>
      </c>
      <c r="B7" s="459">
        <v>11510</v>
      </c>
      <c r="C7" s="459">
        <v>11948</v>
      </c>
      <c r="D7" s="459">
        <v>438</v>
      </c>
      <c r="E7" s="459">
        <v>3.8</v>
      </c>
      <c r="F7" s="459">
        <v>1243</v>
      </c>
      <c r="G7" s="459">
        <v>1670</v>
      </c>
      <c r="H7" s="459">
        <v>-427</v>
      </c>
      <c r="I7" s="459">
        <v>865</v>
      </c>
    </row>
    <row r="8" spans="1:9" ht="16.149999999999999" customHeight="1">
      <c r="A8" s="458" t="s">
        <v>553</v>
      </c>
      <c r="B8" s="459">
        <v>25289</v>
      </c>
      <c r="C8" s="459">
        <v>25288</v>
      </c>
      <c r="D8" s="459">
        <v>-1</v>
      </c>
      <c r="E8" s="459">
        <v>0</v>
      </c>
      <c r="F8" s="459">
        <v>2456</v>
      </c>
      <c r="G8" s="459">
        <v>3330</v>
      </c>
      <c r="H8" s="459">
        <v>-874</v>
      </c>
      <c r="I8" s="459">
        <v>873</v>
      </c>
    </row>
    <row r="9" spans="1:9" ht="16.149999999999999" customHeight="1">
      <c r="A9" s="458" t="s">
        <v>554</v>
      </c>
      <c r="B9" s="459">
        <v>28150</v>
      </c>
      <c r="C9" s="459">
        <v>30906</v>
      </c>
      <c r="D9" s="459">
        <v>2756</v>
      </c>
      <c r="E9" s="459">
        <v>9.8000000000000007</v>
      </c>
      <c r="F9" s="459">
        <v>2477</v>
      </c>
      <c r="G9" s="459">
        <v>4282</v>
      </c>
      <c r="H9" s="459">
        <v>-1805</v>
      </c>
      <c r="I9" s="459">
        <v>4561</v>
      </c>
    </row>
    <row r="10" spans="1:9" ht="16.149999999999999" customHeight="1">
      <c r="A10" s="458" t="s">
        <v>555</v>
      </c>
      <c r="B10" s="459">
        <v>18035</v>
      </c>
      <c r="C10" s="459">
        <v>18031</v>
      </c>
      <c r="D10" s="459">
        <v>-4</v>
      </c>
      <c r="E10" s="459">
        <v>0</v>
      </c>
      <c r="F10" s="459">
        <v>1447</v>
      </c>
      <c r="G10" s="459">
        <v>2357</v>
      </c>
      <c r="H10" s="459">
        <v>-910</v>
      </c>
      <c r="I10" s="459">
        <v>906</v>
      </c>
    </row>
    <row r="11" spans="1:9" ht="16.149999999999999" customHeight="1">
      <c r="A11" s="458" t="s">
        <v>556</v>
      </c>
      <c r="B11" s="459">
        <v>47490</v>
      </c>
      <c r="C11" s="459">
        <v>47575</v>
      </c>
      <c r="D11" s="459">
        <v>85</v>
      </c>
      <c r="E11" s="459">
        <v>0.2</v>
      </c>
      <c r="F11" s="459">
        <v>4755</v>
      </c>
      <c r="G11" s="459">
        <v>7174</v>
      </c>
      <c r="H11" s="459">
        <v>-2419</v>
      </c>
      <c r="I11" s="459">
        <v>2504</v>
      </c>
    </row>
    <row r="12" spans="1:9" ht="16.149999999999999" customHeight="1">
      <c r="A12" s="458" t="s">
        <v>522</v>
      </c>
      <c r="B12" s="459">
        <v>19601</v>
      </c>
      <c r="C12" s="459">
        <v>19601</v>
      </c>
      <c r="D12" s="459">
        <v>0</v>
      </c>
      <c r="E12" s="459">
        <v>0</v>
      </c>
      <c r="F12" s="459">
        <v>1885</v>
      </c>
      <c r="G12" s="459">
        <v>2657</v>
      </c>
      <c r="H12" s="459">
        <v>-772</v>
      </c>
      <c r="I12" s="459">
        <v>772</v>
      </c>
    </row>
    <row r="13" spans="1:9" ht="16.149999999999999" customHeight="1">
      <c r="A13" s="458" t="s">
        <v>557</v>
      </c>
      <c r="B13" s="459">
        <v>34444</v>
      </c>
      <c r="C13" s="459">
        <v>33912</v>
      </c>
      <c r="D13" s="459">
        <v>-532</v>
      </c>
      <c r="E13" s="459">
        <v>-1.5</v>
      </c>
      <c r="F13" s="459">
        <v>3788</v>
      </c>
      <c r="G13" s="459">
        <v>4667</v>
      </c>
      <c r="H13" s="459">
        <v>-879</v>
      </c>
      <c r="I13" s="459">
        <v>347</v>
      </c>
    </row>
    <row r="14" spans="1:9" ht="16.149999999999999" customHeight="1">
      <c r="A14" s="458" t="s">
        <v>558</v>
      </c>
      <c r="B14" s="459">
        <v>146135</v>
      </c>
      <c r="C14" s="459">
        <v>179854</v>
      </c>
      <c r="D14" s="459">
        <v>33719</v>
      </c>
      <c r="E14" s="459">
        <v>23.1</v>
      </c>
      <c r="F14" s="459">
        <v>12328</v>
      </c>
      <c r="G14" s="459">
        <v>23031</v>
      </c>
      <c r="H14" s="459">
        <v>-10703</v>
      </c>
      <c r="I14" s="459">
        <v>44422</v>
      </c>
    </row>
    <row r="15" spans="1:9" ht="16.149999999999999" customHeight="1">
      <c r="A15" s="458" t="s">
        <v>559</v>
      </c>
      <c r="B15" s="459">
        <v>267046</v>
      </c>
      <c r="C15" s="459">
        <v>296961</v>
      </c>
      <c r="D15" s="459">
        <v>29915</v>
      </c>
      <c r="E15" s="459">
        <v>11.2</v>
      </c>
      <c r="F15" s="459">
        <v>26433</v>
      </c>
      <c r="G15" s="459">
        <v>31852</v>
      </c>
      <c r="H15" s="459">
        <v>-5419</v>
      </c>
      <c r="I15" s="459">
        <v>35334</v>
      </c>
    </row>
    <row r="16" spans="1:9" ht="16.149999999999999" customHeight="1">
      <c r="A16" s="458" t="s">
        <v>560</v>
      </c>
      <c r="B16" s="459">
        <v>91934</v>
      </c>
      <c r="C16" s="459">
        <v>95263</v>
      </c>
      <c r="D16" s="459">
        <v>3329</v>
      </c>
      <c r="E16" s="459">
        <v>3.6</v>
      </c>
      <c r="F16" s="459">
        <v>10047</v>
      </c>
      <c r="G16" s="459">
        <v>12166</v>
      </c>
      <c r="H16" s="459">
        <v>-2119</v>
      </c>
      <c r="I16" s="459">
        <v>5448</v>
      </c>
    </row>
    <row r="17" spans="1:9" ht="16.149999999999999" customHeight="1">
      <c r="A17" s="458" t="s">
        <v>561</v>
      </c>
      <c r="B17" s="459">
        <v>216608</v>
      </c>
      <c r="C17" s="459">
        <v>259075</v>
      </c>
      <c r="D17" s="459">
        <v>42467</v>
      </c>
      <c r="E17" s="459">
        <v>19.600000000000001</v>
      </c>
      <c r="F17" s="459">
        <v>32018</v>
      </c>
      <c r="G17" s="459">
        <v>21081</v>
      </c>
      <c r="H17" s="459">
        <v>10937</v>
      </c>
      <c r="I17" s="459">
        <v>31530</v>
      </c>
    </row>
    <row r="18" spans="1:9" ht="16.149999999999999" customHeight="1">
      <c r="A18" s="458" t="s">
        <v>562</v>
      </c>
      <c r="B18" s="459">
        <v>83703</v>
      </c>
      <c r="C18" s="459">
        <v>87711</v>
      </c>
      <c r="D18" s="459">
        <v>4008</v>
      </c>
      <c r="E18" s="459">
        <v>4.8</v>
      </c>
      <c r="F18" s="459">
        <v>9207</v>
      </c>
      <c r="G18" s="459">
        <v>11267</v>
      </c>
      <c r="H18" s="459">
        <v>-2060</v>
      </c>
      <c r="I18" s="459">
        <v>6068</v>
      </c>
    </row>
    <row r="19" spans="1:9" ht="16.149999999999999" customHeight="1">
      <c r="A19" s="458" t="s">
        <v>529</v>
      </c>
      <c r="B19" s="459">
        <v>10717</v>
      </c>
      <c r="C19" s="459">
        <v>11266</v>
      </c>
      <c r="D19" s="459">
        <v>549</v>
      </c>
      <c r="E19" s="459">
        <v>5.0999999999999996</v>
      </c>
      <c r="F19" s="459">
        <v>1099</v>
      </c>
      <c r="G19" s="459">
        <v>1139</v>
      </c>
      <c r="H19" s="459">
        <v>-40</v>
      </c>
      <c r="I19" s="459">
        <v>589</v>
      </c>
    </row>
    <row r="20" spans="1:9" ht="16.149999999999999" customHeight="1">
      <c r="A20" s="458" t="s">
        <v>563</v>
      </c>
      <c r="B20" s="459">
        <v>71640</v>
      </c>
      <c r="C20" s="459">
        <v>76536</v>
      </c>
      <c r="D20" s="459">
        <v>4896</v>
      </c>
      <c r="E20" s="459">
        <v>6.8</v>
      </c>
      <c r="F20" s="459">
        <v>6160</v>
      </c>
      <c r="G20" s="459">
        <v>10105</v>
      </c>
      <c r="H20" s="459">
        <v>-3945</v>
      </c>
      <c r="I20" s="459">
        <v>8841</v>
      </c>
    </row>
    <row r="21" spans="1:9" ht="16.149999999999999" customHeight="1">
      <c r="A21" s="458" t="s">
        <v>564</v>
      </c>
      <c r="B21" s="459">
        <v>23666</v>
      </c>
      <c r="C21" s="459">
        <v>23665</v>
      </c>
      <c r="D21" s="459">
        <v>-1</v>
      </c>
      <c r="E21" s="459">
        <v>0</v>
      </c>
      <c r="F21" s="459">
        <v>2249</v>
      </c>
      <c r="G21" s="459">
        <v>3274</v>
      </c>
      <c r="H21" s="459">
        <v>-1025</v>
      </c>
      <c r="I21" s="459">
        <v>1024</v>
      </c>
    </row>
    <row r="22" spans="1:9" ht="16.149999999999999" customHeight="1">
      <c r="A22" s="458" t="s">
        <v>565</v>
      </c>
      <c r="B22" s="459">
        <v>160504</v>
      </c>
      <c r="C22" s="459">
        <v>170616</v>
      </c>
      <c r="D22" s="459">
        <v>10112</v>
      </c>
      <c r="E22" s="459">
        <v>6.3</v>
      </c>
      <c r="F22" s="459">
        <v>19288</v>
      </c>
      <c r="G22" s="459">
        <v>20349</v>
      </c>
      <c r="H22" s="459">
        <v>-1061</v>
      </c>
      <c r="I22" s="459">
        <v>11173</v>
      </c>
    </row>
    <row r="23" spans="1:9" ht="16.149999999999999" customHeight="1">
      <c r="A23" s="458" t="s">
        <v>566</v>
      </c>
      <c r="B23" s="459">
        <v>77713</v>
      </c>
      <c r="C23" s="459">
        <v>94920</v>
      </c>
      <c r="D23" s="459">
        <v>17207</v>
      </c>
      <c r="E23" s="459">
        <v>22.1</v>
      </c>
      <c r="F23" s="459">
        <v>8139</v>
      </c>
      <c r="G23" s="459">
        <v>10433</v>
      </c>
      <c r="H23" s="459">
        <v>-2294</v>
      </c>
      <c r="I23" s="459">
        <v>19501</v>
      </c>
    </row>
    <row r="24" spans="1:9" ht="16.149999999999999" customHeight="1">
      <c r="A24" s="458" t="s">
        <v>567</v>
      </c>
      <c r="B24" s="459">
        <v>29972</v>
      </c>
      <c r="C24" s="459">
        <v>32681</v>
      </c>
      <c r="D24" s="459">
        <v>2709</v>
      </c>
      <c r="E24" s="459">
        <v>9</v>
      </c>
      <c r="F24" s="459">
        <v>2592</v>
      </c>
      <c r="G24" s="459">
        <v>4831</v>
      </c>
      <c r="H24" s="459">
        <v>-2239</v>
      </c>
      <c r="I24" s="459">
        <v>4948</v>
      </c>
    </row>
    <row r="25" spans="1:9" ht="16.149999999999999" customHeight="1">
      <c r="A25" s="458" t="s">
        <v>524</v>
      </c>
      <c r="B25" s="459">
        <v>14074</v>
      </c>
      <c r="C25" s="459">
        <v>13592</v>
      </c>
      <c r="D25" s="459">
        <v>-482</v>
      </c>
      <c r="E25" s="459">
        <v>-3.4</v>
      </c>
      <c r="F25" s="459">
        <v>1459</v>
      </c>
      <c r="G25" s="459">
        <v>2063</v>
      </c>
      <c r="H25" s="459">
        <v>-604</v>
      </c>
      <c r="I25" s="459">
        <v>122</v>
      </c>
    </row>
    <row r="26" spans="1:9" ht="16.149999999999999" customHeight="1">
      <c r="A26" s="458" t="s">
        <v>568</v>
      </c>
      <c r="B26" s="459">
        <v>12058</v>
      </c>
      <c r="C26" s="459">
        <v>13770</v>
      </c>
      <c r="D26" s="459">
        <v>1712</v>
      </c>
      <c r="E26" s="459">
        <v>14.2</v>
      </c>
      <c r="F26" s="459">
        <v>1134</v>
      </c>
      <c r="G26" s="459">
        <v>1919</v>
      </c>
      <c r="H26" s="459">
        <v>-785</v>
      </c>
      <c r="I26" s="459">
        <v>2497</v>
      </c>
    </row>
    <row r="27" spans="1:9" ht="16.149999999999999" customHeight="1">
      <c r="A27" s="458" t="s">
        <v>569</v>
      </c>
      <c r="B27" s="459">
        <v>100289</v>
      </c>
      <c r="C27" s="459">
        <v>102157</v>
      </c>
      <c r="D27" s="459">
        <v>1868</v>
      </c>
      <c r="E27" s="459">
        <v>1.9</v>
      </c>
      <c r="F27" s="459">
        <v>11700</v>
      </c>
      <c r="G27" s="459">
        <v>13976</v>
      </c>
      <c r="H27" s="459">
        <v>-2276</v>
      </c>
      <c r="I27" s="459">
        <v>4144</v>
      </c>
    </row>
    <row r="28" spans="1:9" ht="16.149999999999999" customHeight="1">
      <c r="A28" s="458" t="s">
        <v>570</v>
      </c>
      <c r="B28" s="459">
        <v>56220</v>
      </c>
      <c r="C28" s="459">
        <v>56219</v>
      </c>
      <c r="D28" s="459">
        <v>-1</v>
      </c>
      <c r="E28" s="459">
        <v>0</v>
      </c>
      <c r="F28" s="459">
        <v>6359</v>
      </c>
      <c r="G28" s="459">
        <v>7722</v>
      </c>
      <c r="H28" s="459">
        <v>-1363</v>
      </c>
      <c r="I28" s="459">
        <v>1362</v>
      </c>
    </row>
    <row r="29" spans="1:9" ht="16.149999999999999" customHeight="1">
      <c r="A29" s="458" t="s">
        <v>571</v>
      </c>
      <c r="B29" s="459">
        <v>103983</v>
      </c>
      <c r="C29" s="459">
        <v>104846</v>
      </c>
      <c r="D29" s="459">
        <v>863</v>
      </c>
      <c r="E29" s="459">
        <v>0.8</v>
      </c>
      <c r="F29" s="459">
        <v>14211</v>
      </c>
      <c r="G29" s="459">
        <v>11445</v>
      </c>
      <c r="H29" s="459">
        <v>2766</v>
      </c>
      <c r="I29" s="459">
        <v>-1903</v>
      </c>
    </row>
    <row r="30" spans="1:9" ht="16.149999999999999" customHeight="1">
      <c r="A30" s="458" t="s">
        <v>572</v>
      </c>
      <c r="B30" s="459">
        <v>333209</v>
      </c>
      <c r="C30" s="459">
        <v>335069</v>
      </c>
      <c r="D30" s="459">
        <v>1860</v>
      </c>
      <c r="E30" s="459">
        <v>0.6</v>
      </c>
      <c r="F30" s="459">
        <v>47757</v>
      </c>
      <c r="G30" s="459">
        <v>29899</v>
      </c>
      <c r="H30" s="459">
        <v>17858</v>
      </c>
      <c r="I30" s="459">
        <v>-15998</v>
      </c>
    </row>
    <row r="31" spans="1:9" ht="16.149999999999999" customHeight="1">
      <c r="A31" s="458" t="s">
        <v>573</v>
      </c>
      <c r="B31" s="459">
        <v>27952</v>
      </c>
      <c r="C31" s="459">
        <v>32219</v>
      </c>
      <c r="D31" s="459">
        <v>4267</v>
      </c>
      <c r="E31" s="459">
        <v>15.3</v>
      </c>
      <c r="F31" s="459">
        <v>2997</v>
      </c>
      <c r="G31" s="459">
        <v>3101</v>
      </c>
      <c r="H31" s="459">
        <v>-104</v>
      </c>
      <c r="I31" s="459">
        <v>4371</v>
      </c>
    </row>
    <row r="32" spans="1:9" ht="16.149999999999999" customHeight="1">
      <c r="A32" s="458" t="s">
        <v>521</v>
      </c>
      <c r="B32" s="459">
        <v>37560</v>
      </c>
      <c r="C32" s="459">
        <v>39333</v>
      </c>
      <c r="D32" s="459">
        <v>1773</v>
      </c>
      <c r="E32" s="459">
        <v>4.7</v>
      </c>
      <c r="F32" s="459">
        <v>3687</v>
      </c>
      <c r="G32" s="459">
        <v>4526</v>
      </c>
      <c r="H32" s="459">
        <v>-839</v>
      </c>
      <c r="I32" s="459">
        <v>2612</v>
      </c>
    </row>
    <row r="33" spans="1:9" ht="16.149999999999999" customHeight="1">
      <c r="A33" s="458" t="s">
        <v>574</v>
      </c>
      <c r="B33" s="459">
        <v>170888</v>
      </c>
      <c r="C33" s="459">
        <v>184987</v>
      </c>
      <c r="D33" s="459">
        <v>14099</v>
      </c>
      <c r="E33" s="459">
        <v>8.3000000000000007</v>
      </c>
      <c r="F33" s="459">
        <v>20632</v>
      </c>
      <c r="G33" s="459">
        <v>21768</v>
      </c>
      <c r="H33" s="459">
        <v>-1136</v>
      </c>
      <c r="I33" s="459">
        <v>15235</v>
      </c>
    </row>
    <row r="34" spans="1:9" ht="16.149999999999999" customHeight="1">
      <c r="A34" s="458" t="s">
        <v>575</v>
      </c>
      <c r="B34" s="459">
        <v>43965</v>
      </c>
      <c r="C34" s="459">
        <v>49615</v>
      </c>
      <c r="D34" s="459">
        <v>5650</v>
      </c>
      <c r="E34" s="459">
        <v>12.9</v>
      </c>
      <c r="F34" s="459">
        <v>4844</v>
      </c>
      <c r="G34" s="459">
        <v>5889</v>
      </c>
      <c r="H34" s="459">
        <v>-1045</v>
      </c>
      <c r="I34" s="459">
        <v>6695</v>
      </c>
    </row>
    <row r="35" spans="1:9" ht="16.149999999999999" customHeight="1">
      <c r="A35" s="458" t="s">
        <v>576</v>
      </c>
      <c r="B35" s="459">
        <v>59756</v>
      </c>
      <c r="C35" s="459">
        <v>59932</v>
      </c>
      <c r="D35" s="459">
        <v>176</v>
      </c>
      <c r="E35" s="459">
        <v>0.3</v>
      </c>
      <c r="F35" s="459">
        <v>7611</v>
      </c>
      <c r="G35" s="459">
        <v>6295</v>
      </c>
      <c r="H35" s="459">
        <v>1316</v>
      </c>
      <c r="I35" s="459">
        <v>-1140</v>
      </c>
    </row>
    <row r="36" spans="1:9" ht="16.149999999999999" customHeight="1">
      <c r="A36" s="458" t="s">
        <v>577</v>
      </c>
      <c r="B36" s="459">
        <v>320322</v>
      </c>
      <c r="C36" s="459">
        <v>366111</v>
      </c>
      <c r="D36" s="459">
        <v>45789</v>
      </c>
      <c r="E36" s="459">
        <v>14.3</v>
      </c>
      <c r="F36" s="459">
        <v>46067</v>
      </c>
      <c r="G36" s="459">
        <v>25829</v>
      </c>
      <c r="H36" s="459">
        <v>20238</v>
      </c>
      <c r="I36" s="459">
        <v>25551</v>
      </c>
    </row>
    <row r="37" spans="1:9" ht="16.149999999999999" customHeight="1">
      <c r="A37" s="458" t="s">
        <v>520</v>
      </c>
      <c r="B37" s="459">
        <v>52447</v>
      </c>
      <c r="C37" s="459">
        <v>51062</v>
      </c>
      <c r="D37" s="459">
        <v>-1385</v>
      </c>
      <c r="E37" s="459">
        <v>-2.6</v>
      </c>
      <c r="F37" s="459">
        <v>5909</v>
      </c>
      <c r="G37" s="459">
        <v>7112</v>
      </c>
      <c r="H37" s="459">
        <v>-1203</v>
      </c>
      <c r="I37" s="459">
        <v>-182</v>
      </c>
    </row>
    <row r="38" spans="1:9" ht="16.149999999999999" customHeight="1">
      <c r="A38" s="458" t="s">
        <v>578</v>
      </c>
      <c r="B38" s="459">
        <v>383123</v>
      </c>
      <c r="C38" s="459">
        <v>418257</v>
      </c>
      <c r="D38" s="459">
        <v>35134</v>
      </c>
      <c r="E38" s="459">
        <v>9.1999999999999993</v>
      </c>
      <c r="F38" s="459">
        <v>49554</v>
      </c>
      <c r="G38" s="459">
        <v>40196</v>
      </c>
      <c r="H38" s="459">
        <v>9358</v>
      </c>
      <c r="I38" s="459">
        <v>25776</v>
      </c>
    </row>
    <row r="39" spans="1:9" ht="16.149999999999999" customHeight="1">
      <c r="A39" s="458" t="s">
        <v>516</v>
      </c>
      <c r="B39" s="459">
        <v>70212</v>
      </c>
      <c r="C39" s="459">
        <v>81204</v>
      </c>
      <c r="D39" s="459">
        <v>10992</v>
      </c>
      <c r="E39" s="459">
        <v>15.7</v>
      </c>
      <c r="F39" s="459">
        <v>8531</v>
      </c>
      <c r="G39" s="459">
        <v>8105</v>
      </c>
      <c r="H39" s="459">
        <v>426</v>
      </c>
      <c r="I39" s="459">
        <v>10566</v>
      </c>
    </row>
    <row r="40" spans="1:9" ht="16.149999999999999" customHeight="1">
      <c r="A40" s="458" t="s">
        <v>579</v>
      </c>
      <c r="B40" s="459">
        <v>223842</v>
      </c>
      <c r="C40" s="459">
        <v>239285</v>
      </c>
      <c r="D40" s="459">
        <v>15443</v>
      </c>
      <c r="E40" s="459">
        <v>6.9</v>
      </c>
      <c r="F40" s="459">
        <v>27551</v>
      </c>
      <c r="G40" s="459">
        <v>26859</v>
      </c>
      <c r="H40" s="459">
        <v>692</v>
      </c>
      <c r="I40" s="459">
        <v>14751</v>
      </c>
    </row>
    <row r="41" spans="1:9" ht="16.149999999999999" customHeight="1">
      <c r="A41" s="458" t="s">
        <v>580</v>
      </c>
      <c r="B41" s="459">
        <v>12165</v>
      </c>
      <c r="C41" s="459">
        <v>12254</v>
      </c>
      <c r="D41" s="459">
        <v>89</v>
      </c>
      <c r="E41" s="459">
        <v>0.7</v>
      </c>
      <c r="F41" s="459">
        <v>1047</v>
      </c>
      <c r="G41" s="459">
        <v>1464</v>
      </c>
      <c r="H41" s="459">
        <v>-417</v>
      </c>
      <c r="I41" s="459">
        <v>506</v>
      </c>
    </row>
    <row r="42" spans="1:9" ht="16.149999999999999" customHeight="1">
      <c r="A42" s="458" t="s">
        <v>536</v>
      </c>
      <c r="B42" s="459">
        <v>8686</v>
      </c>
      <c r="C42" s="459">
        <v>8686</v>
      </c>
      <c r="D42" s="459">
        <v>0</v>
      </c>
      <c r="E42" s="459">
        <v>0</v>
      </c>
      <c r="F42" s="459">
        <v>888</v>
      </c>
      <c r="G42" s="459">
        <v>1210</v>
      </c>
      <c r="H42" s="459">
        <v>-322</v>
      </c>
      <c r="I42" s="459">
        <v>322</v>
      </c>
    </row>
    <row r="43" spans="1:9" ht="16.149999999999999" customHeight="1">
      <c r="A43" s="458" t="s">
        <v>581</v>
      </c>
      <c r="B43" s="459">
        <v>62147</v>
      </c>
      <c r="C43" s="459">
        <v>69540</v>
      </c>
      <c r="D43" s="459">
        <v>7393</v>
      </c>
      <c r="E43" s="459">
        <v>11.9</v>
      </c>
      <c r="F43" s="459">
        <v>6736</v>
      </c>
      <c r="G43" s="459">
        <v>7135</v>
      </c>
      <c r="H43" s="459">
        <v>-399</v>
      </c>
      <c r="I43" s="459">
        <v>7792</v>
      </c>
    </row>
    <row r="44" spans="1:9" ht="16.149999999999999" customHeight="1">
      <c r="A44" s="458" t="s">
        <v>582</v>
      </c>
      <c r="B44" s="459">
        <v>21051</v>
      </c>
      <c r="C44" s="459">
        <v>21050</v>
      </c>
      <c r="D44" s="459">
        <v>-1</v>
      </c>
      <c r="E44" s="459">
        <v>0</v>
      </c>
      <c r="F44" s="459">
        <v>2272</v>
      </c>
      <c r="G44" s="459">
        <v>2433</v>
      </c>
      <c r="H44" s="459">
        <v>-161</v>
      </c>
      <c r="I44" s="459">
        <v>160</v>
      </c>
    </row>
    <row r="45" spans="1:9" ht="16.149999999999999" customHeight="1">
      <c r="A45" s="458" t="s">
        <v>583</v>
      </c>
      <c r="B45" s="459">
        <v>545348</v>
      </c>
      <c r="C45" s="459">
        <v>615227</v>
      </c>
      <c r="D45" s="459">
        <v>69879</v>
      </c>
      <c r="E45" s="459">
        <v>12.8</v>
      </c>
      <c r="F45" s="459">
        <v>70149</v>
      </c>
      <c r="G45" s="459">
        <v>54167</v>
      </c>
      <c r="H45" s="459">
        <v>15982</v>
      </c>
      <c r="I45" s="459">
        <v>53897</v>
      </c>
    </row>
    <row r="46" spans="1:9" ht="16.149999999999999" customHeight="1">
      <c r="A46" s="458" t="s">
        <v>584</v>
      </c>
      <c r="B46" s="459">
        <v>50838</v>
      </c>
      <c r="C46" s="459">
        <v>47259</v>
      </c>
      <c r="D46" s="459">
        <v>-3579</v>
      </c>
      <c r="E46" s="459">
        <v>-7</v>
      </c>
      <c r="F46" s="459">
        <v>5688</v>
      </c>
      <c r="G46" s="459">
        <v>7015</v>
      </c>
      <c r="H46" s="459">
        <v>-1327</v>
      </c>
      <c r="I46" s="459">
        <v>-2252</v>
      </c>
    </row>
    <row r="47" spans="1:9" ht="16.149999999999999" customHeight="1">
      <c r="A47" s="458" t="s">
        <v>585</v>
      </c>
      <c r="B47" s="459">
        <v>137358</v>
      </c>
      <c r="C47" s="459">
        <v>158563</v>
      </c>
      <c r="D47" s="459">
        <v>21205</v>
      </c>
      <c r="E47" s="459">
        <v>15.4</v>
      </c>
      <c r="F47" s="459">
        <v>20554</v>
      </c>
      <c r="G47" s="459">
        <v>12750</v>
      </c>
      <c r="H47" s="459">
        <v>7804</v>
      </c>
      <c r="I47" s="459">
        <v>13401</v>
      </c>
    </row>
    <row r="48" spans="1:9" ht="16.149999999999999" customHeight="1">
      <c r="A48" s="458" t="s">
        <v>586</v>
      </c>
      <c r="B48" s="459">
        <v>63813</v>
      </c>
      <c r="C48" s="459">
        <v>68680</v>
      </c>
      <c r="D48" s="459">
        <v>4867</v>
      </c>
      <c r="E48" s="459">
        <v>7.6</v>
      </c>
      <c r="F48" s="459">
        <v>6632</v>
      </c>
      <c r="G48" s="459">
        <v>9535</v>
      </c>
      <c r="H48" s="459">
        <v>-2903</v>
      </c>
      <c r="I48" s="459">
        <v>7770</v>
      </c>
    </row>
    <row r="49" spans="1:9" ht="16.149999999999999" customHeight="1">
      <c r="A49" s="458" t="s">
        <v>587</v>
      </c>
      <c r="B49" s="459">
        <v>119730</v>
      </c>
      <c r="C49" s="459">
        <v>132035</v>
      </c>
      <c r="D49" s="459">
        <v>12305</v>
      </c>
      <c r="E49" s="459">
        <v>10.3</v>
      </c>
      <c r="F49" s="459">
        <v>12627</v>
      </c>
      <c r="G49" s="459">
        <v>17794</v>
      </c>
      <c r="H49" s="459">
        <v>-5167</v>
      </c>
      <c r="I49" s="459">
        <v>17472</v>
      </c>
    </row>
    <row r="50" spans="1:9" ht="16.149999999999999" customHeight="1">
      <c r="A50" s="458" t="s">
        <v>588</v>
      </c>
      <c r="B50" s="459">
        <v>24015</v>
      </c>
      <c r="C50" s="459">
        <v>24006</v>
      </c>
      <c r="D50" s="459">
        <v>-9</v>
      </c>
      <c r="E50" s="459">
        <v>0</v>
      </c>
      <c r="F50" s="459">
        <v>2272</v>
      </c>
      <c r="G50" s="459">
        <v>3343</v>
      </c>
      <c r="H50" s="459">
        <v>-1071</v>
      </c>
      <c r="I50" s="459">
        <v>1062</v>
      </c>
    </row>
    <row r="51" spans="1:9" ht="16.149999999999999" customHeight="1">
      <c r="A51" s="458" t="s">
        <v>589</v>
      </c>
      <c r="B51" s="459">
        <v>55802</v>
      </c>
      <c r="C51" s="459">
        <v>66691</v>
      </c>
      <c r="D51" s="459">
        <v>10889</v>
      </c>
      <c r="E51" s="459">
        <v>19.5</v>
      </c>
      <c r="F51" s="459">
        <v>9483</v>
      </c>
      <c r="G51" s="459">
        <v>4421</v>
      </c>
      <c r="H51" s="459">
        <v>5062</v>
      </c>
      <c r="I51" s="459">
        <v>5827</v>
      </c>
    </row>
    <row r="52" spans="1:9" ht="16.149999999999999" customHeight="1">
      <c r="A52" s="458" t="s">
        <v>590</v>
      </c>
      <c r="B52" s="459">
        <v>5156</v>
      </c>
      <c r="C52" s="459">
        <v>4929</v>
      </c>
      <c r="D52" s="459">
        <v>-227</v>
      </c>
      <c r="E52" s="459">
        <v>-4.4000000000000004</v>
      </c>
      <c r="F52" s="459">
        <v>429</v>
      </c>
      <c r="G52" s="459">
        <v>694</v>
      </c>
      <c r="H52" s="459">
        <v>-265</v>
      </c>
      <c r="I52" s="459">
        <v>38</v>
      </c>
    </row>
    <row r="53" spans="1:9" ht="16.149999999999999" customHeight="1">
      <c r="A53" s="458" t="s">
        <v>591</v>
      </c>
      <c r="B53" s="459">
        <v>184023</v>
      </c>
      <c r="C53" s="459">
        <v>210452</v>
      </c>
      <c r="D53" s="459">
        <v>26429</v>
      </c>
      <c r="E53" s="459">
        <v>14.4</v>
      </c>
      <c r="F53" s="459">
        <v>23325</v>
      </c>
      <c r="G53" s="459">
        <v>20731</v>
      </c>
      <c r="H53" s="459">
        <v>2594</v>
      </c>
      <c r="I53" s="459">
        <v>23835</v>
      </c>
    </row>
    <row r="54" spans="1:9" ht="16.149999999999999" customHeight="1">
      <c r="A54" s="458" t="s">
        <v>592</v>
      </c>
      <c r="B54" s="459">
        <v>44848</v>
      </c>
      <c r="C54" s="459">
        <v>49995</v>
      </c>
      <c r="D54" s="459">
        <v>5147</v>
      </c>
      <c r="E54" s="459">
        <v>11.5</v>
      </c>
      <c r="F54" s="459">
        <v>4376</v>
      </c>
      <c r="G54" s="459">
        <v>5001</v>
      </c>
      <c r="H54" s="459">
        <v>-625</v>
      </c>
      <c r="I54" s="459">
        <v>5772</v>
      </c>
    </row>
    <row r="55" spans="1:9" ht="16.149999999999999" customHeight="1">
      <c r="A55" s="458" t="s">
        <v>593</v>
      </c>
      <c r="B55" s="459">
        <v>212401</v>
      </c>
      <c r="C55" s="459">
        <v>269736</v>
      </c>
      <c r="D55" s="459">
        <v>57335</v>
      </c>
      <c r="E55" s="459">
        <v>27</v>
      </c>
      <c r="F55" s="459">
        <v>32682</v>
      </c>
      <c r="G55" s="459">
        <v>20919</v>
      </c>
      <c r="H55" s="459">
        <v>11763</v>
      </c>
      <c r="I55" s="459">
        <v>45572</v>
      </c>
    </row>
    <row r="56" spans="1:9" ht="16.149999999999999" customHeight="1">
      <c r="A56" s="458" t="s">
        <v>594</v>
      </c>
      <c r="B56" s="459">
        <v>10194</v>
      </c>
      <c r="C56" s="459">
        <v>10195</v>
      </c>
      <c r="D56" s="459">
        <v>1</v>
      </c>
      <c r="E56" s="459">
        <v>0</v>
      </c>
      <c r="F56" s="459">
        <v>1013</v>
      </c>
      <c r="G56" s="459">
        <v>1434</v>
      </c>
      <c r="H56" s="459">
        <v>-421</v>
      </c>
      <c r="I56" s="459">
        <v>422</v>
      </c>
    </row>
    <row r="57" spans="1:9" ht="16.149999999999999" customHeight="1">
      <c r="A57" s="458" t="s">
        <v>595</v>
      </c>
      <c r="B57" s="459">
        <v>62429</v>
      </c>
      <c r="C57" s="459">
        <v>68325</v>
      </c>
      <c r="D57" s="459">
        <v>5896</v>
      </c>
      <c r="E57" s="459">
        <v>9.4</v>
      </c>
      <c r="F57" s="459">
        <v>8963</v>
      </c>
      <c r="G57" s="459">
        <v>6946</v>
      </c>
      <c r="H57" s="459">
        <v>2017</v>
      </c>
      <c r="I57" s="459">
        <v>3879</v>
      </c>
    </row>
    <row r="58" spans="1:9" ht="16.149999999999999" customHeight="1">
      <c r="A58" s="458" t="s">
        <v>596</v>
      </c>
      <c r="B58" s="459">
        <v>55963</v>
      </c>
      <c r="C58" s="459">
        <v>51883</v>
      </c>
      <c r="D58" s="459">
        <v>-4080</v>
      </c>
      <c r="E58" s="459">
        <v>-7.3</v>
      </c>
      <c r="F58" s="459">
        <v>6508</v>
      </c>
      <c r="G58" s="459">
        <v>7544</v>
      </c>
      <c r="H58" s="459">
        <v>-1036</v>
      </c>
      <c r="I58" s="459">
        <v>-3044</v>
      </c>
    </row>
    <row r="59" spans="1:9" ht="16.149999999999999" customHeight="1">
      <c r="A59" s="458" t="s">
        <v>597</v>
      </c>
      <c r="B59" s="459">
        <v>88151</v>
      </c>
      <c r="C59" s="459">
        <v>99743</v>
      </c>
      <c r="D59" s="459">
        <v>11592</v>
      </c>
      <c r="E59" s="459">
        <v>13.2</v>
      </c>
      <c r="F59" s="459">
        <v>9795</v>
      </c>
      <c r="G59" s="459">
        <v>10871</v>
      </c>
      <c r="H59" s="459">
        <v>-1076</v>
      </c>
      <c r="I59" s="459">
        <v>12668</v>
      </c>
    </row>
    <row r="60" spans="1:9" ht="16.149999999999999" customHeight="1">
      <c r="A60" s="458" t="s">
        <v>598</v>
      </c>
      <c r="B60" s="459">
        <v>36897</v>
      </c>
      <c r="C60" s="459">
        <v>40862</v>
      </c>
      <c r="D60" s="459">
        <v>3965</v>
      </c>
      <c r="E60" s="459">
        <v>10.7</v>
      </c>
      <c r="F60" s="459">
        <v>4220</v>
      </c>
      <c r="G60" s="459">
        <v>5753</v>
      </c>
      <c r="H60" s="459">
        <v>-1533</v>
      </c>
      <c r="I60" s="459">
        <v>5498</v>
      </c>
    </row>
    <row r="61" spans="1:9" ht="16.149999999999999" customHeight="1">
      <c r="A61" s="458" t="s">
        <v>599</v>
      </c>
      <c r="B61" s="459">
        <v>22843</v>
      </c>
      <c r="C61" s="459">
        <v>25251</v>
      </c>
      <c r="D61" s="459">
        <v>2408</v>
      </c>
      <c r="E61" s="459">
        <v>10.5</v>
      </c>
      <c r="F61" s="459">
        <v>2287</v>
      </c>
      <c r="G61" s="459">
        <v>3114</v>
      </c>
      <c r="H61" s="459">
        <v>-827</v>
      </c>
      <c r="I61" s="459">
        <v>3235</v>
      </c>
    </row>
    <row r="62" spans="1:9" ht="16.149999999999999" customHeight="1">
      <c r="A62" s="458" t="s">
        <v>515</v>
      </c>
      <c r="B62" s="459">
        <v>23039</v>
      </c>
      <c r="C62" s="459">
        <v>21914</v>
      </c>
      <c r="D62" s="459">
        <v>-1125</v>
      </c>
      <c r="E62" s="459">
        <v>-4.9000000000000004</v>
      </c>
      <c r="F62" s="459">
        <v>2762</v>
      </c>
      <c r="G62" s="459">
        <v>3518</v>
      </c>
      <c r="H62" s="459">
        <v>-756</v>
      </c>
      <c r="I62" s="459">
        <v>-369</v>
      </c>
    </row>
    <row r="63" spans="1:9" ht="16.149999999999999" customHeight="1">
      <c r="A63" s="458" t="s">
        <v>600</v>
      </c>
      <c r="B63" s="459">
        <v>46905</v>
      </c>
      <c r="C63" s="459">
        <v>49474</v>
      </c>
      <c r="D63" s="459">
        <v>2569</v>
      </c>
      <c r="E63" s="459">
        <v>5.5</v>
      </c>
      <c r="F63" s="459">
        <v>5090</v>
      </c>
      <c r="G63" s="459">
        <v>6336</v>
      </c>
      <c r="H63" s="459">
        <v>-1246</v>
      </c>
      <c r="I63" s="459">
        <v>3815</v>
      </c>
    </row>
    <row r="64" spans="1:9" ht="16.149999999999999" customHeight="1">
      <c r="A64" s="458" t="s">
        <v>601</v>
      </c>
      <c r="B64" s="459">
        <v>1131342</v>
      </c>
      <c r="C64" s="459">
        <v>1348822</v>
      </c>
      <c r="D64" s="459">
        <v>217480</v>
      </c>
      <c r="E64" s="459">
        <v>19.2</v>
      </c>
      <c r="F64" s="459">
        <v>159840</v>
      </c>
      <c r="G64" s="459">
        <v>84770</v>
      </c>
      <c r="H64" s="459">
        <v>75070</v>
      </c>
      <c r="I64" s="459">
        <v>142410</v>
      </c>
    </row>
    <row r="65" spans="1:9" ht="16.149999999999999" customHeight="1">
      <c r="A65" s="458" t="s">
        <v>602</v>
      </c>
      <c r="B65" s="459">
        <v>15258</v>
      </c>
      <c r="C65" s="459">
        <v>15310</v>
      </c>
      <c r="D65" s="459">
        <v>52</v>
      </c>
      <c r="E65" s="459">
        <v>0.3</v>
      </c>
      <c r="F65" s="459">
        <v>1548</v>
      </c>
      <c r="G65" s="459">
        <v>2341</v>
      </c>
      <c r="H65" s="459">
        <v>-793</v>
      </c>
      <c r="I65" s="459">
        <v>845</v>
      </c>
    </row>
    <row r="66" spans="1:9" ht="16.149999999999999" customHeight="1">
      <c r="A66" s="458" t="s">
        <v>603</v>
      </c>
      <c r="B66" s="459">
        <v>27712</v>
      </c>
      <c r="C66" s="459">
        <v>28158</v>
      </c>
      <c r="D66" s="459">
        <v>446</v>
      </c>
      <c r="E66" s="459">
        <v>1.6</v>
      </c>
      <c r="F66" s="459">
        <v>3338</v>
      </c>
      <c r="G66" s="459">
        <v>3415</v>
      </c>
      <c r="H66" s="459">
        <v>-77</v>
      </c>
      <c r="I66" s="459">
        <v>523</v>
      </c>
    </row>
    <row r="67" spans="1:9" ht="16.149999999999999" customHeight="1">
      <c r="A67" s="458" t="s">
        <v>604</v>
      </c>
      <c r="B67" s="459">
        <v>102950</v>
      </c>
      <c r="C67" s="459">
        <v>119674</v>
      </c>
      <c r="D67" s="459">
        <v>16724</v>
      </c>
      <c r="E67" s="459">
        <v>16.2</v>
      </c>
      <c r="F67" s="459">
        <v>13545</v>
      </c>
      <c r="G67" s="459">
        <v>14187</v>
      </c>
      <c r="H67" s="459">
        <v>-642</v>
      </c>
      <c r="I67" s="459">
        <v>17366</v>
      </c>
    </row>
    <row r="68" spans="1:9" ht="16.149999999999999" customHeight="1">
      <c r="A68" s="458" t="s">
        <v>518</v>
      </c>
      <c r="B68" s="459">
        <v>95923</v>
      </c>
      <c r="C68" s="459">
        <v>97276</v>
      </c>
      <c r="D68" s="459">
        <v>1353</v>
      </c>
      <c r="E68" s="459">
        <v>1.4</v>
      </c>
      <c r="F68" s="459">
        <v>11611</v>
      </c>
      <c r="G68" s="459">
        <v>12341</v>
      </c>
      <c r="H68" s="459">
        <v>-730</v>
      </c>
      <c r="I68" s="459">
        <v>2083</v>
      </c>
    </row>
    <row r="69" spans="1:9" ht="16.149999999999999" customHeight="1">
      <c r="A69" s="458" t="s">
        <v>605</v>
      </c>
      <c r="B69" s="459">
        <v>239272</v>
      </c>
      <c r="C69" s="459">
        <v>276409</v>
      </c>
      <c r="D69" s="459">
        <v>37137</v>
      </c>
      <c r="E69" s="459">
        <v>15.5</v>
      </c>
      <c r="F69" s="459">
        <v>26224</v>
      </c>
      <c r="G69" s="459">
        <v>24949</v>
      </c>
      <c r="H69" s="459">
        <v>1275</v>
      </c>
      <c r="I69" s="459">
        <v>35862</v>
      </c>
    </row>
    <row r="70" spans="1:9" ht="16.149999999999999" customHeight="1">
      <c r="A70" s="458" t="s">
        <v>606</v>
      </c>
      <c r="B70" s="459">
        <v>20258</v>
      </c>
      <c r="C70" s="459">
        <v>18379</v>
      </c>
      <c r="D70" s="459">
        <v>-1879</v>
      </c>
      <c r="E70" s="459">
        <v>-9.3000000000000007</v>
      </c>
      <c r="F70" s="459">
        <v>1975</v>
      </c>
      <c r="G70" s="459">
        <v>2791</v>
      </c>
      <c r="H70" s="459">
        <v>-816</v>
      </c>
      <c r="I70" s="459">
        <v>-1063</v>
      </c>
    </row>
    <row r="71" spans="1:9" ht="16.149999999999999" customHeight="1">
      <c r="A71" s="458" t="s">
        <v>607</v>
      </c>
      <c r="B71" s="459">
        <v>204357</v>
      </c>
      <c r="C71" s="459">
        <v>229277</v>
      </c>
      <c r="D71" s="459">
        <v>24920</v>
      </c>
      <c r="E71" s="459">
        <v>12.2</v>
      </c>
      <c r="F71" s="459">
        <v>36125</v>
      </c>
      <c r="G71" s="459">
        <v>13824</v>
      </c>
      <c r="H71" s="459">
        <v>22301</v>
      </c>
      <c r="I71" s="459">
        <v>2619</v>
      </c>
    </row>
    <row r="72" spans="1:9" ht="16.149999999999999" customHeight="1">
      <c r="A72" s="458" t="s">
        <v>608</v>
      </c>
      <c r="B72" s="459">
        <v>148610</v>
      </c>
      <c r="C72" s="459">
        <v>163699</v>
      </c>
      <c r="D72" s="459">
        <v>15089</v>
      </c>
      <c r="E72" s="459">
        <v>10.199999999999999</v>
      </c>
      <c r="F72" s="459">
        <v>13175</v>
      </c>
      <c r="G72" s="459">
        <v>11029</v>
      </c>
      <c r="H72" s="459">
        <v>2146</v>
      </c>
      <c r="I72" s="459">
        <v>12943</v>
      </c>
    </row>
    <row r="73" spans="1:9" ht="16.149999999999999" customHeight="1">
      <c r="A73" s="458" t="s">
        <v>609</v>
      </c>
      <c r="B73" s="459">
        <v>13283</v>
      </c>
      <c r="C73" s="459">
        <v>13452</v>
      </c>
      <c r="D73" s="459">
        <v>169</v>
      </c>
      <c r="E73" s="459">
        <v>1.3</v>
      </c>
      <c r="F73" s="459">
        <v>1013</v>
      </c>
      <c r="G73" s="459">
        <v>2115</v>
      </c>
      <c r="H73" s="459">
        <v>-1102</v>
      </c>
      <c r="I73" s="459">
        <v>1271</v>
      </c>
    </row>
    <row r="74" spans="1:9" ht="16.149999999999999" customHeight="1">
      <c r="A74" s="458" t="s">
        <v>531</v>
      </c>
      <c r="B74" s="459">
        <v>39685</v>
      </c>
      <c r="C74" s="459">
        <v>39591</v>
      </c>
      <c r="D74" s="459">
        <v>-94</v>
      </c>
      <c r="E74" s="459">
        <v>-0.2</v>
      </c>
      <c r="F74" s="459">
        <v>4767</v>
      </c>
      <c r="G74" s="459">
        <v>4406</v>
      </c>
      <c r="H74" s="459">
        <v>361</v>
      </c>
      <c r="I74" s="459">
        <v>-455</v>
      </c>
    </row>
    <row r="75" spans="1:9" ht="16.149999999999999" customHeight="1">
      <c r="A75" s="458" t="s">
        <v>610</v>
      </c>
      <c r="B75" s="459">
        <v>64578</v>
      </c>
      <c r="C75" s="459">
        <v>76106</v>
      </c>
      <c r="D75" s="459">
        <v>11528</v>
      </c>
      <c r="E75" s="459">
        <v>17.899999999999999</v>
      </c>
      <c r="F75" s="459">
        <v>7761</v>
      </c>
      <c r="G75" s="459">
        <v>7462</v>
      </c>
      <c r="H75" s="459">
        <v>299</v>
      </c>
      <c r="I75" s="459">
        <v>11229</v>
      </c>
    </row>
    <row r="76" spans="1:9" ht="16.149999999999999" customHeight="1">
      <c r="A76" s="458" t="s">
        <v>527</v>
      </c>
      <c r="B76" s="459">
        <v>13637</v>
      </c>
      <c r="C76" s="459">
        <v>13923</v>
      </c>
      <c r="D76" s="459">
        <v>286</v>
      </c>
      <c r="E76" s="459">
        <v>2.1</v>
      </c>
      <c r="F76" s="459">
        <v>1307</v>
      </c>
      <c r="G76" s="459">
        <v>2114</v>
      </c>
      <c r="H76" s="459">
        <v>-807</v>
      </c>
      <c r="I76" s="459">
        <v>1093</v>
      </c>
    </row>
    <row r="77" spans="1:9" ht="16.149999999999999" customHeight="1">
      <c r="A77" s="458" t="s">
        <v>611</v>
      </c>
      <c r="B77" s="459">
        <v>40529</v>
      </c>
      <c r="C77" s="459">
        <v>41823</v>
      </c>
      <c r="D77" s="459">
        <v>1294</v>
      </c>
      <c r="E77" s="459">
        <v>3.2</v>
      </c>
      <c r="F77" s="459">
        <v>4843</v>
      </c>
      <c r="G77" s="459">
        <v>5140</v>
      </c>
      <c r="H77" s="459">
        <v>-297</v>
      </c>
      <c r="I77" s="459">
        <v>1591</v>
      </c>
    </row>
    <row r="78" spans="1:9" ht="16.149999999999999" customHeight="1">
      <c r="A78" s="458" t="s">
        <v>612</v>
      </c>
      <c r="B78" s="459">
        <v>181005</v>
      </c>
      <c r="C78" s="459">
        <v>193742</v>
      </c>
      <c r="D78" s="459">
        <v>12737</v>
      </c>
      <c r="E78" s="459">
        <v>7</v>
      </c>
      <c r="F78" s="459">
        <v>21761</v>
      </c>
      <c r="G78" s="459">
        <v>15579</v>
      </c>
      <c r="H78" s="459">
        <v>6182</v>
      </c>
      <c r="I78" s="459">
        <v>6555</v>
      </c>
    </row>
    <row r="79" spans="1:9" ht="16.149999999999999" customHeight="1">
      <c r="A79" s="458" t="s">
        <v>613</v>
      </c>
      <c r="B79" s="459">
        <v>21852</v>
      </c>
      <c r="C79" s="459">
        <v>23299</v>
      </c>
      <c r="D79" s="459">
        <v>1447</v>
      </c>
      <c r="E79" s="459">
        <v>6.6</v>
      </c>
      <c r="F79" s="459">
        <v>1816</v>
      </c>
      <c r="G79" s="459">
        <v>3329</v>
      </c>
      <c r="H79" s="459">
        <v>-1513</v>
      </c>
      <c r="I79" s="459">
        <v>2960</v>
      </c>
    </row>
    <row r="80" spans="1:9" ht="16.149999999999999" customHeight="1">
      <c r="A80" s="458" t="s">
        <v>614</v>
      </c>
      <c r="B80" s="459">
        <v>145807</v>
      </c>
      <c r="C80" s="459">
        <v>154739</v>
      </c>
      <c r="D80" s="459">
        <v>8932</v>
      </c>
      <c r="E80" s="459">
        <v>6.1</v>
      </c>
      <c r="F80" s="459">
        <v>18275</v>
      </c>
      <c r="G80" s="459">
        <v>17694</v>
      </c>
      <c r="H80" s="459">
        <v>581</v>
      </c>
      <c r="I80" s="459">
        <v>8351</v>
      </c>
    </row>
    <row r="81" spans="1:9" ht="16.149999999999999" customHeight="1">
      <c r="A81" s="458" t="s">
        <v>615</v>
      </c>
      <c r="B81" s="459">
        <v>44993</v>
      </c>
      <c r="C81" s="459">
        <v>44123</v>
      </c>
      <c r="D81" s="459">
        <v>-870</v>
      </c>
      <c r="E81" s="459">
        <v>-1.9</v>
      </c>
      <c r="F81" s="459">
        <v>5545</v>
      </c>
      <c r="G81" s="459">
        <v>5804</v>
      </c>
      <c r="H81" s="459">
        <v>-259</v>
      </c>
      <c r="I81" s="459">
        <v>-611</v>
      </c>
    </row>
    <row r="82" spans="1:9" ht="16.149999999999999" customHeight="1">
      <c r="A82" s="458" t="s">
        <v>616</v>
      </c>
      <c r="B82" s="459">
        <v>130529</v>
      </c>
      <c r="C82" s="459">
        <v>125259</v>
      </c>
      <c r="D82" s="459">
        <v>-5270</v>
      </c>
      <c r="E82" s="459">
        <v>-4</v>
      </c>
      <c r="F82" s="459">
        <v>16913</v>
      </c>
      <c r="G82" s="459">
        <v>14916</v>
      </c>
      <c r="H82" s="459">
        <v>1997</v>
      </c>
      <c r="I82" s="459">
        <v>-7267</v>
      </c>
    </row>
    <row r="83" spans="1:9" ht="16.149999999999999" customHeight="1">
      <c r="A83" s="458" t="s">
        <v>617</v>
      </c>
      <c r="B83" s="459">
        <v>91830</v>
      </c>
      <c r="C83" s="459">
        <v>91865</v>
      </c>
      <c r="D83" s="459">
        <v>35</v>
      </c>
      <c r="E83" s="459">
        <v>0</v>
      </c>
      <c r="F83" s="459">
        <v>9960</v>
      </c>
      <c r="G83" s="459">
        <v>12512</v>
      </c>
      <c r="H83" s="459">
        <v>-2552</v>
      </c>
      <c r="I83" s="459">
        <v>2587</v>
      </c>
    </row>
    <row r="84" spans="1:9" ht="16.149999999999999" customHeight="1">
      <c r="A84" s="458" t="s">
        <v>618</v>
      </c>
      <c r="B84" s="459">
        <v>143259</v>
      </c>
      <c r="C84" s="459">
        <v>149784</v>
      </c>
      <c r="D84" s="459">
        <v>6525</v>
      </c>
      <c r="E84" s="459">
        <v>4.5999999999999996</v>
      </c>
      <c r="F84" s="459">
        <v>17048</v>
      </c>
      <c r="G84" s="459">
        <v>18194</v>
      </c>
      <c r="H84" s="459">
        <v>-1146</v>
      </c>
      <c r="I84" s="459">
        <v>7671</v>
      </c>
    </row>
    <row r="85" spans="1:9" ht="16.149999999999999" customHeight="1">
      <c r="A85" s="458" t="s">
        <v>619</v>
      </c>
      <c r="B85" s="459">
        <v>69105</v>
      </c>
      <c r="C85" s="459">
        <v>72379</v>
      </c>
      <c r="D85" s="459">
        <v>3274</v>
      </c>
      <c r="E85" s="459">
        <v>4.7</v>
      </c>
      <c r="F85" s="459">
        <v>7580</v>
      </c>
      <c r="G85" s="459">
        <v>9876</v>
      </c>
      <c r="H85" s="459">
        <v>-2296</v>
      </c>
      <c r="I85" s="459">
        <v>5570</v>
      </c>
    </row>
    <row r="86" spans="1:9" ht="16.149999999999999" customHeight="1">
      <c r="A86" s="458" t="s">
        <v>620</v>
      </c>
      <c r="B86" s="459">
        <v>64458</v>
      </c>
      <c r="C86" s="459">
        <v>65308</v>
      </c>
      <c r="D86" s="459">
        <v>850</v>
      </c>
      <c r="E86" s="459">
        <v>1.3</v>
      </c>
      <c r="F86" s="459">
        <v>9191</v>
      </c>
      <c r="G86" s="459">
        <v>7722</v>
      </c>
      <c r="H86" s="459">
        <v>1469</v>
      </c>
      <c r="I86" s="459">
        <v>-619</v>
      </c>
    </row>
    <row r="87" spans="1:9" ht="16.149999999999999" customHeight="1">
      <c r="A87" s="458" t="s">
        <v>621</v>
      </c>
      <c r="B87" s="459">
        <v>35690</v>
      </c>
      <c r="C87" s="459">
        <v>35370</v>
      </c>
      <c r="D87" s="459">
        <v>-320</v>
      </c>
      <c r="E87" s="459">
        <v>-0.9</v>
      </c>
      <c r="F87" s="459">
        <v>4641</v>
      </c>
      <c r="G87" s="459">
        <v>4394</v>
      </c>
      <c r="H87" s="459">
        <v>247</v>
      </c>
      <c r="I87" s="459">
        <v>-567</v>
      </c>
    </row>
    <row r="88" spans="1:9" ht="16.149999999999999" customHeight="1">
      <c r="A88" s="458" t="s">
        <v>622</v>
      </c>
      <c r="B88" s="459">
        <v>64236</v>
      </c>
      <c r="C88" s="459">
        <v>69309</v>
      </c>
      <c r="D88" s="459">
        <v>5073</v>
      </c>
      <c r="E88" s="459">
        <v>7.9</v>
      </c>
      <c r="F88" s="459">
        <v>7417</v>
      </c>
      <c r="G88" s="459">
        <v>8521</v>
      </c>
      <c r="H88" s="459">
        <v>-1104</v>
      </c>
      <c r="I88" s="459">
        <v>6177</v>
      </c>
    </row>
    <row r="89" spans="1:9" ht="16.149999999999999" customHeight="1">
      <c r="A89" s="458" t="s">
        <v>623</v>
      </c>
      <c r="B89" s="459">
        <v>46360</v>
      </c>
      <c r="C89" s="459">
        <v>46062</v>
      </c>
      <c r="D89" s="459">
        <v>-298</v>
      </c>
      <c r="E89" s="459">
        <v>-0.6</v>
      </c>
      <c r="F89" s="459">
        <v>4612</v>
      </c>
      <c r="G89" s="459">
        <v>6307</v>
      </c>
      <c r="H89" s="459">
        <v>-1695</v>
      </c>
      <c r="I89" s="459">
        <v>1397</v>
      </c>
    </row>
    <row r="90" spans="1:9" ht="16.149999999999999" customHeight="1">
      <c r="A90" s="458" t="s">
        <v>624</v>
      </c>
      <c r="B90" s="459">
        <v>73231</v>
      </c>
      <c r="C90" s="459">
        <v>73231</v>
      </c>
      <c r="D90" s="459">
        <v>0</v>
      </c>
      <c r="E90" s="459">
        <v>0</v>
      </c>
      <c r="F90" s="459">
        <v>8572</v>
      </c>
      <c r="G90" s="459">
        <v>9790</v>
      </c>
      <c r="H90" s="459">
        <v>-1218</v>
      </c>
      <c r="I90" s="459">
        <v>1218</v>
      </c>
    </row>
    <row r="91" spans="1:9" ht="16.149999999999999" customHeight="1">
      <c r="A91" s="458" t="s">
        <v>625</v>
      </c>
      <c r="B91" s="459">
        <v>14108</v>
      </c>
      <c r="C91" s="459">
        <v>13388</v>
      </c>
      <c r="D91" s="459">
        <v>-720</v>
      </c>
      <c r="E91" s="459">
        <v>-5.0999999999999996</v>
      </c>
      <c r="F91" s="459">
        <v>1664</v>
      </c>
      <c r="G91" s="459">
        <v>1926</v>
      </c>
      <c r="H91" s="459">
        <v>-262</v>
      </c>
      <c r="I91" s="459">
        <v>-458</v>
      </c>
    </row>
    <row r="92" spans="1:9" ht="16.149999999999999" customHeight="1">
      <c r="A92" s="458" t="s">
        <v>626</v>
      </c>
      <c r="B92" s="459">
        <v>35806</v>
      </c>
      <c r="C92" s="459">
        <v>38768</v>
      </c>
      <c r="D92" s="459">
        <v>2962</v>
      </c>
      <c r="E92" s="459">
        <v>8.3000000000000007</v>
      </c>
      <c r="F92" s="459">
        <v>3253</v>
      </c>
      <c r="G92" s="459">
        <v>5514</v>
      </c>
      <c r="H92" s="459">
        <v>-2261</v>
      </c>
      <c r="I92" s="459">
        <v>5223</v>
      </c>
    </row>
    <row r="93" spans="1:9" ht="16.149999999999999" customHeight="1">
      <c r="A93" s="458" t="s">
        <v>519</v>
      </c>
      <c r="B93" s="459">
        <v>4260</v>
      </c>
      <c r="C93" s="459">
        <v>4259</v>
      </c>
      <c r="D93" s="459">
        <v>-1</v>
      </c>
      <c r="E93" s="459">
        <v>0</v>
      </c>
      <c r="F93" s="459">
        <v>489</v>
      </c>
      <c r="G93" s="459">
        <v>511</v>
      </c>
      <c r="H93" s="459">
        <v>-22</v>
      </c>
      <c r="I93" s="459">
        <v>21</v>
      </c>
    </row>
    <row r="94" spans="1:9" ht="16.149999999999999" customHeight="1">
      <c r="A94" s="458" t="s">
        <v>627</v>
      </c>
      <c r="B94" s="459">
        <v>242657</v>
      </c>
      <c r="C94" s="459">
        <v>302410</v>
      </c>
      <c r="D94" s="459">
        <v>59753</v>
      </c>
      <c r="E94" s="459">
        <v>24.6</v>
      </c>
      <c r="F94" s="459">
        <v>37678</v>
      </c>
      <c r="G94" s="459">
        <v>21058</v>
      </c>
      <c r="H94" s="459">
        <v>16620</v>
      </c>
      <c r="I94" s="459">
        <v>43133</v>
      </c>
    </row>
    <row r="95" spans="1:9" ht="16.149999999999999" customHeight="1">
      <c r="A95" s="458" t="s">
        <v>628</v>
      </c>
      <c r="B95" s="459">
        <v>46142</v>
      </c>
      <c r="C95" s="459">
        <v>46944</v>
      </c>
      <c r="D95" s="459">
        <v>802</v>
      </c>
      <c r="E95" s="459">
        <v>1.7</v>
      </c>
      <c r="F95" s="459">
        <v>6063</v>
      </c>
      <c r="G95" s="459">
        <v>5845</v>
      </c>
      <c r="H95" s="459">
        <v>218</v>
      </c>
      <c r="I95" s="459">
        <v>584</v>
      </c>
    </row>
    <row r="96" spans="1:9" ht="16.149999999999999" customHeight="1">
      <c r="A96" s="458" t="s">
        <v>514</v>
      </c>
      <c r="B96" s="459">
        <v>1109883</v>
      </c>
      <c r="C96" s="459">
        <v>1328336</v>
      </c>
      <c r="D96" s="459">
        <v>218453</v>
      </c>
      <c r="E96" s="459">
        <v>19.7</v>
      </c>
      <c r="F96" s="459">
        <v>145907</v>
      </c>
      <c r="G96" s="459">
        <v>79955</v>
      </c>
      <c r="H96" s="459">
        <v>65952</v>
      </c>
      <c r="I96" s="459">
        <v>152501</v>
      </c>
    </row>
    <row r="97" spans="1:9" ht="16.149999999999999" customHeight="1">
      <c r="A97" s="458" t="s">
        <v>629</v>
      </c>
      <c r="B97" s="459">
        <v>19898</v>
      </c>
      <c r="C97" s="459">
        <v>18885</v>
      </c>
      <c r="D97" s="459">
        <v>-1013</v>
      </c>
      <c r="E97" s="459">
        <v>-5.0999999999999996</v>
      </c>
      <c r="F97" s="459">
        <v>1852</v>
      </c>
      <c r="G97" s="459">
        <v>2800</v>
      </c>
      <c r="H97" s="459">
        <v>-948</v>
      </c>
      <c r="I97" s="459">
        <v>-65</v>
      </c>
    </row>
    <row r="98" spans="1:9" ht="16.149999999999999" customHeight="1">
      <c r="A98" s="458" t="s">
        <v>517</v>
      </c>
      <c r="B98" s="459">
        <v>11987</v>
      </c>
      <c r="C98" s="459">
        <v>11159</v>
      </c>
      <c r="D98" s="459">
        <v>-828</v>
      </c>
      <c r="E98" s="459">
        <v>-6.9</v>
      </c>
      <c r="F98" s="459">
        <v>1387</v>
      </c>
      <c r="G98" s="459">
        <v>1734</v>
      </c>
      <c r="H98" s="459">
        <v>-347</v>
      </c>
      <c r="I98" s="459">
        <v>-481</v>
      </c>
    </row>
    <row r="99" spans="1:9" ht="16.149999999999999" customHeight="1">
      <c r="A99" s="458" t="s">
        <v>630</v>
      </c>
      <c r="B99" s="459">
        <v>58731</v>
      </c>
      <c r="C99" s="459">
        <v>67043</v>
      </c>
      <c r="D99" s="459">
        <v>8312</v>
      </c>
      <c r="E99" s="459">
        <v>14.2</v>
      </c>
      <c r="F99" s="459">
        <v>5008</v>
      </c>
      <c r="G99" s="459">
        <v>4567</v>
      </c>
      <c r="H99" s="459">
        <v>441</v>
      </c>
      <c r="I99" s="459">
        <v>7871</v>
      </c>
    </row>
    <row r="100" spans="1:9" ht="16.149999999999999" customHeight="1">
      <c r="A100" s="458" t="s">
        <v>631</v>
      </c>
      <c r="B100" s="459">
        <v>126606</v>
      </c>
      <c r="C100" s="459">
        <v>134419</v>
      </c>
      <c r="D100" s="459">
        <v>7813</v>
      </c>
      <c r="E100" s="459">
        <v>6.2</v>
      </c>
      <c r="F100" s="459">
        <v>16802</v>
      </c>
      <c r="G100" s="459">
        <v>13832</v>
      </c>
      <c r="H100" s="459">
        <v>2970</v>
      </c>
      <c r="I100" s="459">
        <v>4843</v>
      </c>
    </row>
    <row r="101" spans="1:9" ht="16.149999999999999" customHeight="1">
      <c r="A101" s="458" t="s">
        <v>632</v>
      </c>
      <c r="B101" s="459">
        <v>70490</v>
      </c>
      <c r="C101" s="459">
        <v>73377</v>
      </c>
      <c r="D101" s="459">
        <v>2887</v>
      </c>
      <c r="E101" s="459">
        <v>4.0999999999999996</v>
      </c>
      <c r="F101" s="459">
        <v>7768</v>
      </c>
      <c r="G101" s="459">
        <v>9746</v>
      </c>
      <c r="H101" s="459">
        <v>-1978</v>
      </c>
      <c r="I101" s="459">
        <v>4865</v>
      </c>
    </row>
    <row r="102" spans="1:9" ht="16.149999999999999" customHeight="1">
      <c r="A102" s="458" t="s">
        <v>633</v>
      </c>
      <c r="B102" s="459">
        <v>82675</v>
      </c>
      <c r="C102" s="459">
        <v>87939</v>
      </c>
      <c r="D102" s="459">
        <v>5264</v>
      </c>
      <c r="E102" s="459">
        <v>6.4</v>
      </c>
      <c r="F102" s="459">
        <v>10345</v>
      </c>
      <c r="G102" s="459">
        <v>10025</v>
      </c>
      <c r="H102" s="459">
        <v>320</v>
      </c>
      <c r="I102" s="459">
        <v>4944</v>
      </c>
    </row>
    <row r="103" spans="1:9" ht="16.149999999999999" customHeight="1">
      <c r="A103" s="458" t="s">
        <v>634</v>
      </c>
      <c r="B103" s="459">
        <v>38236</v>
      </c>
      <c r="C103" s="459">
        <v>38392</v>
      </c>
      <c r="D103" s="459">
        <v>156</v>
      </c>
      <c r="E103" s="459">
        <v>0.4</v>
      </c>
      <c r="F103" s="459">
        <v>4356</v>
      </c>
      <c r="G103" s="459">
        <v>5036</v>
      </c>
      <c r="H103" s="459">
        <v>-680</v>
      </c>
      <c r="I103" s="459">
        <v>836</v>
      </c>
    </row>
    <row r="104" spans="1:9" ht="16.149999999999999" customHeight="1">
      <c r="A104" s="458" t="s">
        <v>635</v>
      </c>
      <c r="B104" s="459">
        <v>18794</v>
      </c>
      <c r="C104" s="459">
        <v>20488</v>
      </c>
      <c r="D104" s="459">
        <v>1694</v>
      </c>
      <c r="E104" s="459">
        <v>9</v>
      </c>
      <c r="F104" s="459">
        <v>2110</v>
      </c>
      <c r="G104" s="459">
        <v>2707</v>
      </c>
      <c r="H104" s="459">
        <v>-597</v>
      </c>
      <c r="I104" s="459">
        <v>2291</v>
      </c>
    </row>
    <row r="105" spans="1:9" ht="16.149999999999999" customHeight="1" thickBot="1">
      <c r="A105" s="458" t="s">
        <v>636</v>
      </c>
      <c r="B105" s="459">
        <v>10630691</v>
      </c>
      <c r="C105" s="459">
        <v>11836070</v>
      </c>
      <c r="D105" s="459">
        <v>1205379</v>
      </c>
      <c r="E105" s="459">
        <v>11.3</v>
      </c>
      <c r="F105" s="459">
        <v>1339000</v>
      </c>
      <c r="G105" s="459">
        <v>1122979</v>
      </c>
      <c r="H105" s="459">
        <v>216021</v>
      </c>
      <c r="I105" s="459">
        <v>989358</v>
      </c>
    </row>
    <row r="106" spans="1:9" ht="16.149999999999999" customHeight="1">
      <c r="A106" s="702" t="s">
        <v>637</v>
      </c>
      <c r="B106" s="702"/>
      <c r="C106" s="702"/>
      <c r="D106" s="702"/>
      <c r="E106" s="702"/>
      <c r="F106" s="702"/>
      <c r="G106" s="702"/>
      <c r="H106" s="702"/>
      <c r="I106" s="702"/>
    </row>
  </sheetData>
  <mergeCells count="5">
    <mergeCell ref="A1:I1"/>
    <mergeCell ref="B3:C3"/>
    <mergeCell ref="D3:E3"/>
    <mergeCell ref="F3:I3"/>
    <mergeCell ref="A106:I106"/>
  </mergeCells>
  <pageMargins left="0.08" right="0.08" top="1" bottom="1" header="0.5" footer="0.5"/>
  <pageSetup orientation="portrait" horizontalDpi="300" verticalDpi="300"/>
  <headerFooter>
    <oddFooter>Return to Top_x000D_Last updated  November 15, 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88629-DF20-42AB-A0BB-9290DEFC666B}">
  <sheetPr>
    <tabColor theme="6" tint="0.79998168889431442"/>
  </sheetPr>
  <dimension ref="A1:I106"/>
  <sheetViews>
    <sheetView workbookViewId="0">
      <selection sqref="A1:I1"/>
    </sheetView>
  </sheetViews>
  <sheetFormatPr defaultColWidth="8.85546875" defaultRowHeight="12.75"/>
  <cols>
    <col min="1" max="1" width="16.7109375" style="455" bestFit="1" customWidth="1"/>
    <col min="2" max="3" width="27.7109375" style="455" bestFit="1" customWidth="1"/>
    <col min="4" max="4" width="13.85546875" style="455" bestFit="1" customWidth="1"/>
    <col min="5" max="5" width="9.7109375" style="455" bestFit="1" customWidth="1"/>
    <col min="6" max="7" width="13.85546875" style="455" bestFit="1" customWidth="1"/>
    <col min="8" max="8" width="22.28515625" style="455" bestFit="1" customWidth="1"/>
    <col min="9" max="9" width="18.140625" style="455" bestFit="1" customWidth="1"/>
    <col min="10" max="256" width="8.85546875" style="455"/>
    <col min="257" max="257" width="16.7109375" style="455" bestFit="1" customWidth="1"/>
    <col min="258" max="259" width="27.7109375" style="455" bestFit="1" customWidth="1"/>
    <col min="260" max="260" width="13.85546875" style="455" bestFit="1" customWidth="1"/>
    <col min="261" max="261" width="9.7109375" style="455" bestFit="1" customWidth="1"/>
    <col min="262" max="263" width="13.85546875" style="455" bestFit="1" customWidth="1"/>
    <col min="264" max="264" width="22.28515625" style="455" bestFit="1" customWidth="1"/>
    <col min="265" max="265" width="18.140625" style="455" bestFit="1" customWidth="1"/>
    <col min="266" max="512" width="8.85546875" style="455"/>
    <col min="513" max="513" width="16.7109375" style="455" bestFit="1" customWidth="1"/>
    <col min="514" max="515" width="27.7109375" style="455" bestFit="1" customWidth="1"/>
    <col min="516" max="516" width="13.85546875" style="455" bestFit="1" customWidth="1"/>
    <col min="517" max="517" width="9.7109375" style="455" bestFit="1" customWidth="1"/>
    <col min="518" max="519" width="13.85546875" style="455" bestFit="1" customWidth="1"/>
    <col min="520" max="520" width="22.28515625" style="455" bestFit="1" customWidth="1"/>
    <col min="521" max="521" width="18.140625" style="455" bestFit="1" customWidth="1"/>
    <col min="522" max="768" width="8.85546875" style="455"/>
    <col min="769" max="769" width="16.7109375" style="455" bestFit="1" customWidth="1"/>
    <col min="770" max="771" width="27.7109375" style="455" bestFit="1" customWidth="1"/>
    <col min="772" max="772" width="13.85546875" style="455" bestFit="1" customWidth="1"/>
    <col min="773" max="773" width="9.7109375" style="455" bestFit="1" customWidth="1"/>
    <col min="774" max="775" width="13.85546875" style="455" bestFit="1" customWidth="1"/>
    <col min="776" max="776" width="22.28515625" style="455" bestFit="1" customWidth="1"/>
    <col min="777" max="777" width="18.140625" style="455" bestFit="1" customWidth="1"/>
    <col min="778" max="1024" width="8.85546875" style="455"/>
    <col min="1025" max="1025" width="16.7109375" style="455" bestFit="1" customWidth="1"/>
    <col min="1026" max="1027" width="27.7109375" style="455" bestFit="1" customWidth="1"/>
    <col min="1028" max="1028" width="13.85546875" style="455" bestFit="1" customWidth="1"/>
    <col min="1029" max="1029" width="9.7109375" style="455" bestFit="1" customWidth="1"/>
    <col min="1030" max="1031" width="13.85546875" style="455" bestFit="1" customWidth="1"/>
    <col min="1032" max="1032" width="22.28515625" style="455" bestFit="1" customWidth="1"/>
    <col min="1033" max="1033" width="18.140625" style="455" bestFit="1" customWidth="1"/>
    <col min="1034" max="1280" width="8.85546875" style="455"/>
    <col min="1281" max="1281" width="16.7109375" style="455" bestFit="1" customWidth="1"/>
    <col min="1282" max="1283" width="27.7109375" style="455" bestFit="1" customWidth="1"/>
    <col min="1284" max="1284" width="13.85546875" style="455" bestFit="1" customWidth="1"/>
    <col min="1285" max="1285" width="9.7109375" style="455" bestFit="1" customWidth="1"/>
    <col min="1286" max="1287" width="13.85546875" style="455" bestFit="1" customWidth="1"/>
    <col min="1288" max="1288" width="22.28515625" style="455" bestFit="1" customWidth="1"/>
    <col min="1289" max="1289" width="18.140625" style="455" bestFit="1" customWidth="1"/>
    <col min="1290" max="1536" width="8.85546875" style="455"/>
    <col min="1537" max="1537" width="16.7109375" style="455" bestFit="1" customWidth="1"/>
    <col min="1538" max="1539" width="27.7109375" style="455" bestFit="1" customWidth="1"/>
    <col min="1540" max="1540" width="13.85546875" style="455" bestFit="1" customWidth="1"/>
    <col min="1541" max="1541" width="9.7109375" style="455" bestFit="1" customWidth="1"/>
    <col min="1542" max="1543" width="13.85546875" style="455" bestFit="1" customWidth="1"/>
    <col min="1544" max="1544" width="22.28515625" style="455" bestFit="1" customWidth="1"/>
    <col min="1545" max="1545" width="18.140625" style="455" bestFit="1" customWidth="1"/>
    <col min="1546" max="1792" width="8.85546875" style="455"/>
    <col min="1793" max="1793" width="16.7109375" style="455" bestFit="1" customWidth="1"/>
    <col min="1794" max="1795" width="27.7109375" style="455" bestFit="1" customWidth="1"/>
    <col min="1796" max="1796" width="13.85546875" style="455" bestFit="1" customWidth="1"/>
    <col min="1797" max="1797" width="9.7109375" style="455" bestFit="1" customWidth="1"/>
    <col min="1798" max="1799" width="13.85546875" style="455" bestFit="1" customWidth="1"/>
    <col min="1800" max="1800" width="22.28515625" style="455" bestFit="1" customWidth="1"/>
    <col min="1801" max="1801" width="18.140625" style="455" bestFit="1" customWidth="1"/>
    <col min="1802" max="2048" width="8.85546875" style="455"/>
    <col min="2049" max="2049" width="16.7109375" style="455" bestFit="1" customWidth="1"/>
    <col min="2050" max="2051" width="27.7109375" style="455" bestFit="1" customWidth="1"/>
    <col min="2052" max="2052" width="13.85546875" style="455" bestFit="1" customWidth="1"/>
    <col min="2053" max="2053" width="9.7109375" style="455" bestFit="1" customWidth="1"/>
    <col min="2054" max="2055" width="13.85546875" style="455" bestFit="1" customWidth="1"/>
    <col min="2056" max="2056" width="22.28515625" style="455" bestFit="1" customWidth="1"/>
    <col min="2057" max="2057" width="18.140625" style="455" bestFit="1" customWidth="1"/>
    <col min="2058" max="2304" width="8.85546875" style="455"/>
    <col min="2305" max="2305" width="16.7109375" style="455" bestFit="1" customWidth="1"/>
    <col min="2306" max="2307" width="27.7109375" style="455" bestFit="1" customWidth="1"/>
    <col min="2308" max="2308" width="13.85546875" style="455" bestFit="1" customWidth="1"/>
    <col min="2309" max="2309" width="9.7109375" style="455" bestFit="1" customWidth="1"/>
    <col min="2310" max="2311" width="13.85546875" style="455" bestFit="1" customWidth="1"/>
    <col min="2312" max="2312" width="22.28515625" style="455" bestFit="1" customWidth="1"/>
    <col min="2313" max="2313" width="18.140625" style="455" bestFit="1" customWidth="1"/>
    <col min="2314" max="2560" width="8.85546875" style="455"/>
    <col min="2561" max="2561" width="16.7109375" style="455" bestFit="1" customWidth="1"/>
    <col min="2562" max="2563" width="27.7109375" style="455" bestFit="1" customWidth="1"/>
    <col min="2564" max="2564" width="13.85546875" style="455" bestFit="1" customWidth="1"/>
    <col min="2565" max="2565" width="9.7109375" style="455" bestFit="1" customWidth="1"/>
    <col min="2566" max="2567" width="13.85546875" style="455" bestFit="1" customWidth="1"/>
    <col min="2568" max="2568" width="22.28515625" style="455" bestFit="1" customWidth="1"/>
    <col min="2569" max="2569" width="18.140625" style="455" bestFit="1" customWidth="1"/>
    <col min="2570" max="2816" width="8.85546875" style="455"/>
    <col min="2817" max="2817" width="16.7109375" style="455" bestFit="1" customWidth="1"/>
    <col min="2818" max="2819" width="27.7109375" style="455" bestFit="1" customWidth="1"/>
    <col min="2820" max="2820" width="13.85546875" style="455" bestFit="1" customWidth="1"/>
    <col min="2821" max="2821" width="9.7109375" style="455" bestFit="1" customWidth="1"/>
    <col min="2822" max="2823" width="13.85546875" style="455" bestFit="1" customWidth="1"/>
    <col min="2824" max="2824" width="22.28515625" style="455" bestFit="1" customWidth="1"/>
    <col min="2825" max="2825" width="18.140625" style="455" bestFit="1" customWidth="1"/>
    <col min="2826" max="3072" width="8.85546875" style="455"/>
    <col min="3073" max="3073" width="16.7109375" style="455" bestFit="1" customWidth="1"/>
    <col min="3074" max="3075" width="27.7109375" style="455" bestFit="1" customWidth="1"/>
    <col min="3076" max="3076" width="13.85546875" style="455" bestFit="1" customWidth="1"/>
    <col min="3077" max="3077" width="9.7109375" style="455" bestFit="1" customWidth="1"/>
    <col min="3078" max="3079" width="13.85546875" style="455" bestFit="1" customWidth="1"/>
    <col min="3080" max="3080" width="22.28515625" style="455" bestFit="1" customWidth="1"/>
    <col min="3081" max="3081" width="18.140625" style="455" bestFit="1" customWidth="1"/>
    <col min="3082" max="3328" width="8.85546875" style="455"/>
    <col min="3329" max="3329" width="16.7109375" style="455" bestFit="1" customWidth="1"/>
    <col min="3330" max="3331" width="27.7109375" style="455" bestFit="1" customWidth="1"/>
    <col min="3332" max="3332" width="13.85546875" style="455" bestFit="1" customWidth="1"/>
    <col min="3333" max="3333" width="9.7109375" style="455" bestFit="1" customWidth="1"/>
    <col min="3334" max="3335" width="13.85546875" style="455" bestFit="1" customWidth="1"/>
    <col min="3336" max="3336" width="22.28515625" style="455" bestFit="1" customWidth="1"/>
    <col min="3337" max="3337" width="18.140625" style="455" bestFit="1" customWidth="1"/>
    <col min="3338" max="3584" width="8.85546875" style="455"/>
    <col min="3585" max="3585" width="16.7109375" style="455" bestFit="1" customWidth="1"/>
    <col min="3586" max="3587" width="27.7109375" style="455" bestFit="1" customWidth="1"/>
    <col min="3588" max="3588" width="13.85546875" style="455" bestFit="1" customWidth="1"/>
    <col min="3589" max="3589" width="9.7109375" style="455" bestFit="1" customWidth="1"/>
    <col min="3590" max="3591" width="13.85546875" style="455" bestFit="1" customWidth="1"/>
    <col min="3592" max="3592" width="22.28515625" style="455" bestFit="1" customWidth="1"/>
    <col min="3593" max="3593" width="18.140625" style="455" bestFit="1" customWidth="1"/>
    <col min="3594" max="3840" width="8.85546875" style="455"/>
    <col min="3841" max="3841" width="16.7109375" style="455" bestFit="1" customWidth="1"/>
    <col min="3842" max="3843" width="27.7109375" style="455" bestFit="1" customWidth="1"/>
    <col min="3844" max="3844" width="13.85546875" style="455" bestFit="1" customWidth="1"/>
    <col min="3845" max="3845" width="9.7109375" style="455" bestFit="1" customWidth="1"/>
    <col min="3846" max="3847" width="13.85546875" style="455" bestFit="1" customWidth="1"/>
    <col min="3848" max="3848" width="22.28515625" style="455" bestFit="1" customWidth="1"/>
    <col min="3849" max="3849" width="18.140625" style="455" bestFit="1" customWidth="1"/>
    <col min="3850" max="4096" width="8.85546875" style="455"/>
    <col min="4097" max="4097" width="16.7109375" style="455" bestFit="1" customWidth="1"/>
    <col min="4098" max="4099" width="27.7109375" style="455" bestFit="1" customWidth="1"/>
    <col min="4100" max="4100" width="13.85546875" style="455" bestFit="1" customWidth="1"/>
    <col min="4101" max="4101" width="9.7109375" style="455" bestFit="1" customWidth="1"/>
    <col min="4102" max="4103" width="13.85546875" style="455" bestFit="1" customWidth="1"/>
    <col min="4104" max="4104" width="22.28515625" style="455" bestFit="1" customWidth="1"/>
    <col min="4105" max="4105" width="18.140625" style="455" bestFit="1" customWidth="1"/>
    <col min="4106" max="4352" width="8.85546875" style="455"/>
    <col min="4353" max="4353" width="16.7109375" style="455" bestFit="1" customWidth="1"/>
    <col min="4354" max="4355" width="27.7109375" style="455" bestFit="1" customWidth="1"/>
    <col min="4356" max="4356" width="13.85546875" style="455" bestFit="1" customWidth="1"/>
    <col min="4357" max="4357" width="9.7109375" style="455" bestFit="1" customWidth="1"/>
    <col min="4358" max="4359" width="13.85546875" style="455" bestFit="1" customWidth="1"/>
    <col min="4360" max="4360" width="22.28515625" style="455" bestFit="1" customWidth="1"/>
    <col min="4361" max="4361" width="18.140625" style="455" bestFit="1" customWidth="1"/>
    <col min="4362" max="4608" width="8.85546875" style="455"/>
    <col min="4609" max="4609" width="16.7109375" style="455" bestFit="1" customWidth="1"/>
    <col min="4610" max="4611" width="27.7109375" style="455" bestFit="1" customWidth="1"/>
    <col min="4612" max="4612" width="13.85546875" style="455" bestFit="1" customWidth="1"/>
    <col min="4613" max="4613" width="9.7109375" style="455" bestFit="1" customWidth="1"/>
    <col min="4614" max="4615" width="13.85546875" style="455" bestFit="1" customWidth="1"/>
    <col min="4616" max="4616" width="22.28515625" style="455" bestFit="1" customWidth="1"/>
    <col min="4617" max="4617" width="18.140625" style="455" bestFit="1" customWidth="1"/>
    <col min="4618" max="4864" width="8.85546875" style="455"/>
    <col min="4865" max="4865" width="16.7109375" style="455" bestFit="1" customWidth="1"/>
    <col min="4866" max="4867" width="27.7109375" style="455" bestFit="1" customWidth="1"/>
    <col min="4868" max="4868" width="13.85546875" style="455" bestFit="1" customWidth="1"/>
    <col min="4869" max="4869" width="9.7109375" style="455" bestFit="1" customWidth="1"/>
    <col min="4870" max="4871" width="13.85546875" style="455" bestFit="1" customWidth="1"/>
    <col min="4872" max="4872" width="22.28515625" style="455" bestFit="1" customWidth="1"/>
    <col min="4873" max="4873" width="18.140625" style="455" bestFit="1" customWidth="1"/>
    <col min="4874" max="5120" width="8.85546875" style="455"/>
    <col min="5121" max="5121" width="16.7109375" style="455" bestFit="1" customWidth="1"/>
    <col min="5122" max="5123" width="27.7109375" style="455" bestFit="1" customWidth="1"/>
    <col min="5124" max="5124" width="13.85546875" style="455" bestFit="1" customWidth="1"/>
    <col min="5125" max="5125" width="9.7109375" style="455" bestFit="1" customWidth="1"/>
    <col min="5126" max="5127" width="13.85546875" style="455" bestFit="1" customWidth="1"/>
    <col min="5128" max="5128" width="22.28515625" style="455" bestFit="1" customWidth="1"/>
    <col min="5129" max="5129" width="18.140625" style="455" bestFit="1" customWidth="1"/>
    <col min="5130" max="5376" width="8.85546875" style="455"/>
    <col min="5377" max="5377" width="16.7109375" style="455" bestFit="1" customWidth="1"/>
    <col min="5378" max="5379" width="27.7109375" style="455" bestFit="1" customWidth="1"/>
    <col min="5380" max="5380" width="13.85546875" style="455" bestFit="1" customWidth="1"/>
    <col min="5381" max="5381" width="9.7109375" style="455" bestFit="1" customWidth="1"/>
    <col min="5382" max="5383" width="13.85546875" style="455" bestFit="1" customWidth="1"/>
    <col min="5384" max="5384" width="22.28515625" style="455" bestFit="1" customWidth="1"/>
    <col min="5385" max="5385" width="18.140625" style="455" bestFit="1" customWidth="1"/>
    <col min="5386" max="5632" width="8.85546875" style="455"/>
    <col min="5633" max="5633" width="16.7109375" style="455" bestFit="1" customWidth="1"/>
    <col min="5634" max="5635" width="27.7109375" style="455" bestFit="1" customWidth="1"/>
    <col min="5636" max="5636" width="13.85546875" style="455" bestFit="1" customWidth="1"/>
    <col min="5637" max="5637" width="9.7109375" style="455" bestFit="1" customWidth="1"/>
    <col min="5638" max="5639" width="13.85546875" style="455" bestFit="1" customWidth="1"/>
    <col min="5640" max="5640" width="22.28515625" style="455" bestFit="1" customWidth="1"/>
    <col min="5641" max="5641" width="18.140625" style="455" bestFit="1" customWidth="1"/>
    <col min="5642" max="5888" width="8.85546875" style="455"/>
    <col min="5889" max="5889" width="16.7109375" style="455" bestFit="1" customWidth="1"/>
    <col min="5890" max="5891" width="27.7109375" style="455" bestFit="1" customWidth="1"/>
    <col min="5892" max="5892" width="13.85546875" style="455" bestFit="1" customWidth="1"/>
    <col min="5893" max="5893" width="9.7109375" style="455" bestFit="1" customWidth="1"/>
    <col min="5894" max="5895" width="13.85546875" style="455" bestFit="1" customWidth="1"/>
    <col min="5896" max="5896" width="22.28515625" style="455" bestFit="1" customWidth="1"/>
    <col min="5897" max="5897" width="18.140625" style="455" bestFit="1" customWidth="1"/>
    <col min="5898" max="6144" width="8.85546875" style="455"/>
    <col min="6145" max="6145" width="16.7109375" style="455" bestFit="1" customWidth="1"/>
    <col min="6146" max="6147" width="27.7109375" style="455" bestFit="1" customWidth="1"/>
    <col min="6148" max="6148" width="13.85546875" style="455" bestFit="1" customWidth="1"/>
    <col min="6149" max="6149" width="9.7109375" style="455" bestFit="1" customWidth="1"/>
    <col min="6150" max="6151" width="13.85546875" style="455" bestFit="1" customWidth="1"/>
    <col min="6152" max="6152" width="22.28515625" style="455" bestFit="1" customWidth="1"/>
    <col min="6153" max="6153" width="18.140625" style="455" bestFit="1" customWidth="1"/>
    <col min="6154" max="6400" width="8.85546875" style="455"/>
    <col min="6401" max="6401" width="16.7109375" style="455" bestFit="1" customWidth="1"/>
    <col min="6402" max="6403" width="27.7109375" style="455" bestFit="1" customWidth="1"/>
    <col min="6404" max="6404" width="13.85546875" style="455" bestFit="1" customWidth="1"/>
    <col min="6405" max="6405" width="9.7109375" style="455" bestFit="1" customWidth="1"/>
    <col min="6406" max="6407" width="13.85546875" style="455" bestFit="1" customWidth="1"/>
    <col min="6408" max="6408" width="22.28515625" style="455" bestFit="1" customWidth="1"/>
    <col min="6409" max="6409" width="18.140625" style="455" bestFit="1" customWidth="1"/>
    <col min="6410" max="6656" width="8.85546875" style="455"/>
    <col min="6657" max="6657" width="16.7109375" style="455" bestFit="1" customWidth="1"/>
    <col min="6658" max="6659" width="27.7109375" style="455" bestFit="1" customWidth="1"/>
    <col min="6660" max="6660" width="13.85546875" style="455" bestFit="1" customWidth="1"/>
    <col min="6661" max="6661" width="9.7109375" style="455" bestFit="1" customWidth="1"/>
    <col min="6662" max="6663" width="13.85546875" style="455" bestFit="1" customWidth="1"/>
    <col min="6664" max="6664" width="22.28515625" style="455" bestFit="1" customWidth="1"/>
    <col min="6665" max="6665" width="18.140625" style="455" bestFit="1" customWidth="1"/>
    <col min="6666" max="6912" width="8.85546875" style="455"/>
    <col min="6913" max="6913" width="16.7109375" style="455" bestFit="1" customWidth="1"/>
    <col min="6914" max="6915" width="27.7109375" style="455" bestFit="1" customWidth="1"/>
    <col min="6916" max="6916" width="13.85546875" style="455" bestFit="1" customWidth="1"/>
    <col min="6917" max="6917" width="9.7109375" style="455" bestFit="1" customWidth="1"/>
    <col min="6918" max="6919" width="13.85546875" style="455" bestFit="1" customWidth="1"/>
    <col min="6920" max="6920" width="22.28515625" style="455" bestFit="1" customWidth="1"/>
    <col min="6921" max="6921" width="18.140625" style="455" bestFit="1" customWidth="1"/>
    <col min="6922" max="7168" width="8.85546875" style="455"/>
    <col min="7169" max="7169" width="16.7109375" style="455" bestFit="1" customWidth="1"/>
    <col min="7170" max="7171" width="27.7109375" style="455" bestFit="1" customWidth="1"/>
    <col min="7172" max="7172" width="13.85546875" style="455" bestFit="1" customWidth="1"/>
    <col min="7173" max="7173" width="9.7109375" style="455" bestFit="1" customWidth="1"/>
    <col min="7174" max="7175" width="13.85546875" style="455" bestFit="1" customWidth="1"/>
    <col min="7176" max="7176" width="22.28515625" style="455" bestFit="1" customWidth="1"/>
    <col min="7177" max="7177" width="18.140625" style="455" bestFit="1" customWidth="1"/>
    <col min="7178" max="7424" width="8.85546875" style="455"/>
    <col min="7425" max="7425" width="16.7109375" style="455" bestFit="1" customWidth="1"/>
    <col min="7426" max="7427" width="27.7109375" style="455" bestFit="1" customWidth="1"/>
    <col min="7428" max="7428" width="13.85546875" style="455" bestFit="1" customWidth="1"/>
    <col min="7429" max="7429" width="9.7109375" style="455" bestFit="1" customWidth="1"/>
    <col min="7430" max="7431" width="13.85546875" style="455" bestFit="1" customWidth="1"/>
    <col min="7432" max="7432" width="22.28515625" style="455" bestFit="1" customWidth="1"/>
    <col min="7433" max="7433" width="18.140625" style="455" bestFit="1" customWidth="1"/>
    <col min="7434" max="7680" width="8.85546875" style="455"/>
    <col min="7681" max="7681" width="16.7109375" style="455" bestFit="1" customWidth="1"/>
    <col min="7682" max="7683" width="27.7109375" style="455" bestFit="1" customWidth="1"/>
    <col min="7684" max="7684" width="13.85546875" style="455" bestFit="1" customWidth="1"/>
    <col min="7685" max="7685" width="9.7109375" style="455" bestFit="1" customWidth="1"/>
    <col min="7686" max="7687" width="13.85546875" style="455" bestFit="1" customWidth="1"/>
    <col min="7688" max="7688" width="22.28515625" style="455" bestFit="1" customWidth="1"/>
    <col min="7689" max="7689" width="18.140625" style="455" bestFit="1" customWidth="1"/>
    <col min="7690" max="7936" width="8.85546875" style="455"/>
    <col min="7937" max="7937" width="16.7109375" style="455" bestFit="1" customWidth="1"/>
    <col min="7938" max="7939" width="27.7109375" style="455" bestFit="1" customWidth="1"/>
    <col min="7940" max="7940" width="13.85546875" style="455" bestFit="1" customWidth="1"/>
    <col min="7941" max="7941" width="9.7109375" style="455" bestFit="1" customWidth="1"/>
    <col min="7942" max="7943" width="13.85546875" style="455" bestFit="1" customWidth="1"/>
    <col min="7944" max="7944" width="22.28515625" style="455" bestFit="1" customWidth="1"/>
    <col min="7945" max="7945" width="18.140625" style="455" bestFit="1" customWidth="1"/>
    <col min="7946" max="8192" width="8.85546875" style="455"/>
    <col min="8193" max="8193" width="16.7109375" style="455" bestFit="1" customWidth="1"/>
    <col min="8194" max="8195" width="27.7109375" style="455" bestFit="1" customWidth="1"/>
    <col min="8196" max="8196" width="13.85546875" style="455" bestFit="1" customWidth="1"/>
    <col min="8197" max="8197" width="9.7109375" style="455" bestFit="1" customWidth="1"/>
    <col min="8198" max="8199" width="13.85546875" style="455" bestFit="1" customWidth="1"/>
    <col min="8200" max="8200" width="22.28515625" style="455" bestFit="1" customWidth="1"/>
    <col min="8201" max="8201" width="18.140625" style="455" bestFit="1" customWidth="1"/>
    <col min="8202" max="8448" width="8.85546875" style="455"/>
    <col min="8449" max="8449" width="16.7109375" style="455" bestFit="1" customWidth="1"/>
    <col min="8450" max="8451" width="27.7109375" style="455" bestFit="1" customWidth="1"/>
    <col min="8452" max="8452" width="13.85546875" style="455" bestFit="1" customWidth="1"/>
    <col min="8453" max="8453" width="9.7109375" style="455" bestFit="1" customWidth="1"/>
    <col min="8454" max="8455" width="13.85546875" style="455" bestFit="1" customWidth="1"/>
    <col min="8456" max="8456" width="22.28515625" style="455" bestFit="1" customWidth="1"/>
    <col min="8457" max="8457" width="18.140625" style="455" bestFit="1" customWidth="1"/>
    <col min="8458" max="8704" width="8.85546875" style="455"/>
    <col min="8705" max="8705" width="16.7109375" style="455" bestFit="1" customWidth="1"/>
    <col min="8706" max="8707" width="27.7109375" style="455" bestFit="1" customWidth="1"/>
    <col min="8708" max="8708" width="13.85546875" style="455" bestFit="1" customWidth="1"/>
    <col min="8709" max="8709" width="9.7109375" style="455" bestFit="1" customWidth="1"/>
    <col min="8710" max="8711" width="13.85546875" style="455" bestFit="1" customWidth="1"/>
    <col min="8712" max="8712" width="22.28515625" style="455" bestFit="1" customWidth="1"/>
    <col min="8713" max="8713" width="18.140625" style="455" bestFit="1" customWidth="1"/>
    <col min="8714" max="8960" width="8.85546875" style="455"/>
    <col min="8961" max="8961" width="16.7109375" style="455" bestFit="1" customWidth="1"/>
    <col min="8962" max="8963" width="27.7109375" style="455" bestFit="1" customWidth="1"/>
    <col min="8964" max="8964" width="13.85546875" style="455" bestFit="1" customWidth="1"/>
    <col min="8965" max="8965" width="9.7109375" style="455" bestFit="1" customWidth="1"/>
    <col min="8966" max="8967" width="13.85546875" style="455" bestFit="1" customWidth="1"/>
    <col min="8968" max="8968" width="22.28515625" style="455" bestFit="1" customWidth="1"/>
    <col min="8969" max="8969" width="18.140625" style="455" bestFit="1" customWidth="1"/>
    <col min="8970" max="9216" width="8.85546875" style="455"/>
    <col min="9217" max="9217" width="16.7109375" style="455" bestFit="1" customWidth="1"/>
    <col min="9218" max="9219" width="27.7109375" style="455" bestFit="1" customWidth="1"/>
    <col min="9220" max="9220" width="13.85546875" style="455" bestFit="1" customWidth="1"/>
    <col min="9221" max="9221" width="9.7109375" style="455" bestFit="1" customWidth="1"/>
    <col min="9222" max="9223" width="13.85546875" style="455" bestFit="1" customWidth="1"/>
    <col min="9224" max="9224" width="22.28515625" style="455" bestFit="1" customWidth="1"/>
    <col min="9225" max="9225" width="18.140625" style="455" bestFit="1" customWidth="1"/>
    <col min="9226" max="9472" width="8.85546875" style="455"/>
    <col min="9473" max="9473" width="16.7109375" style="455" bestFit="1" customWidth="1"/>
    <col min="9474" max="9475" width="27.7109375" style="455" bestFit="1" customWidth="1"/>
    <col min="9476" max="9476" width="13.85546875" style="455" bestFit="1" customWidth="1"/>
    <col min="9477" max="9477" width="9.7109375" style="455" bestFit="1" customWidth="1"/>
    <col min="9478" max="9479" width="13.85546875" style="455" bestFit="1" customWidth="1"/>
    <col min="9480" max="9480" width="22.28515625" style="455" bestFit="1" customWidth="1"/>
    <col min="9481" max="9481" width="18.140625" style="455" bestFit="1" customWidth="1"/>
    <col min="9482" max="9728" width="8.85546875" style="455"/>
    <col min="9729" max="9729" width="16.7109375" style="455" bestFit="1" customWidth="1"/>
    <col min="9730" max="9731" width="27.7109375" style="455" bestFit="1" customWidth="1"/>
    <col min="9732" max="9732" width="13.85546875" style="455" bestFit="1" customWidth="1"/>
    <col min="9733" max="9733" width="9.7109375" style="455" bestFit="1" customWidth="1"/>
    <col min="9734" max="9735" width="13.85546875" style="455" bestFit="1" customWidth="1"/>
    <col min="9736" max="9736" width="22.28515625" style="455" bestFit="1" customWidth="1"/>
    <col min="9737" max="9737" width="18.140625" style="455" bestFit="1" customWidth="1"/>
    <col min="9738" max="9984" width="8.85546875" style="455"/>
    <col min="9985" max="9985" width="16.7109375" style="455" bestFit="1" customWidth="1"/>
    <col min="9986" max="9987" width="27.7109375" style="455" bestFit="1" customWidth="1"/>
    <col min="9988" max="9988" width="13.85546875" style="455" bestFit="1" customWidth="1"/>
    <col min="9989" max="9989" width="9.7109375" style="455" bestFit="1" customWidth="1"/>
    <col min="9990" max="9991" width="13.85546875" style="455" bestFit="1" customWidth="1"/>
    <col min="9992" max="9992" width="22.28515625" style="455" bestFit="1" customWidth="1"/>
    <col min="9993" max="9993" width="18.140625" style="455" bestFit="1" customWidth="1"/>
    <col min="9994" max="10240" width="8.85546875" style="455"/>
    <col min="10241" max="10241" width="16.7109375" style="455" bestFit="1" customWidth="1"/>
    <col min="10242" max="10243" width="27.7109375" style="455" bestFit="1" customWidth="1"/>
    <col min="10244" max="10244" width="13.85546875" style="455" bestFit="1" customWidth="1"/>
    <col min="10245" max="10245" width="9.7109375" style="455" bestFit="1" customWidth="1"/>
    <col min="10246" max="10247" width="13.85546875" style="455" bestFit="1" customWidth="1"/>
    <col min="10248" max="10248" width="22.28515625" style="455" bestFit="1" customWidth="1"/>
    <col min="10249" max="10249" width="18.140625" style="455" bestFit="1" customWidth="1"/>
    <col min="10250" max="10496" width="8.85546875" style="455"/>
    <col min="10497" max="10497" width="16.7109375" style="455" bestFit="1" customWidth="1"/>
    <col min="10498" max="10499" width="27.7109375" style="455" bestFit="1" customWidth="1"/>
    <col min="10500" max="10500" width="13.85546875" style="455" bestFit="1" customWidth="1"/>
    <col min="10501" max="10501" width="9.7109375" style="455" bestFit="1" customWidth="1"/>
    <col min="10502" max="10503" width="13.85546875" style="455" bestFit="1" customWidth="1"/>
    <col min="10504" max="10504" width="22.28515625" style="455" bestFit="1" customWidth="1"/>
    <col min="10505" max="10505" width="18.140625" style="455" bestFit="1" customWidth="1"/>
    <col min="10506" max="10752" width="8.85546875" style="455"/>
    <col min="10753" max="10753" width="16.7109375" style="455" bestFit="1" customWidth="1"/>
    <col min="10754" max="10755" width="27.7109375" style="455" bestFit="1" customWidth="1"/>
    <col min="10756" max="10756" width="13.85546875" style="455" bestFit="1" customWidth="1"/>
    <col min="10757" max="10757" width="9.7109375" style="455" bestFit="1" customWidth="1"/>
    <col min="10758" max="10759" width="13.85546875" style="455" bestFit="1" customWidth="1"/>
    <col min="10760" max="10760" width="22.28515625" style="455" bestFit="1" customWidth="1"/>
    <col min="10761" max="10761" width="18.140625" style="455" bestFit="1" customWidth="1"/>
    <col min="10762" max="11008" width="8.85546875" style="455"/>
    <col min="11009" max="11009" width="16.7109375" style="455" bestFit="1" customWidth="1"/>
    <col min="11010" max="11011" width="27.7109375" style="455" bestFit="1" customWidth="1"/>
    <col min="11012" max="11012" width="13.85546875" style="455" bestFit="1" customWidth="1"/>
    <col min="11013" max="11013" width="9.7109375" style="455" bestFit="1" customWidth="1"/>
    <col min="11014" max="11015" width="13.85546875" style="455" bestFit="1" customWidth="1"/>
    <col min="11016" max="11016" width="22.28515625" style="455" bestFit="1" customWidth="1"/>
    <col min="11017" max="11017" width="18.140625" style="455" bestFit="1" customWidth="1"/>
    <col min="11018" max="11264" width="8.85546875" style="455"/>
    <col min="11265" max="11265" width="16.7109375" style="455" bestFit="1" customWidth="1"/>
    <col min="11266" max="11267" width="27.7109375" style="455" bestFit="1" customWidth="1"/>
    <col min="11268" max="11268" width="13.85546875" style="455" bestFit="1" customWidth="1"/>
    <col min="11269" max="11269" width="9.7109375" style="455" bestFit="1" customWidth="1"/>
    <col min="11270" max="11271" width="13.85546875" style="455" bestFit="1" customWidth="1"/>
    <col min="11272" max="11272" width="22.28515625" style="455" bestFit="1" customWidth="1"/>
    <col min="11273" max="11273" width="18.140625" style="455" bestFit="1" customWidth="1"/>
    <col min="11274" max="11520" width="8.85546875" style="455"/>
    <col min="11521" max="11521" width="16.7109375" style="455" bestFit="1" customWidth="1"/>
    <col min="11522" max="11523" width="27.7109375" style="455" bestFit="1" customWidth="1"/>
    <col min="11524" max="11524" width="13.85546875" style="455" bestFit="1" customWidth="1"/>
    <col min="11525" max="11525" width="9.7109375" style="455" bestFit="1" customWidth="1"/>
    <col min="11526" max="11527" width="13.85546875" style="455" bestFit="1" customWidth="1"/>
    <col min="11528" max="11528" width="22.28515625" style="455" bestFit="1" customWidth="1"/>
    <col min="11529" max="11529" width="18.140625" style="455" bestFit="1" customWidth="1"/>
    <col min="11530" max="11776" width="8.85546875" style="455"/>
    <col min="11777" max="11777" width="16.7109375" style="455" bestFit="1" customWidth="1"/>
    <col min="11778" max="11779" width="27.7109375" style="455" bestFit="1" customWidth="1"/>
    <col min="11780" max="11780" width="13.85546875" style="455" bestFit="1" customWidth="1"/>
    <col min="11781" max="11781" width="9.7109375" style="455" bestFit="1" customWidth="1"/>
    <col min="11782" max="11783" width="13.85546875" style="455" bestFit="1" customWidth="1"/>
    <col min="11784" max="11784" width="22.28515625" style="455" bestFit="1" customWidth="1"/>
    <col min="11785" max="11785" width="18.140625" style="455" bestFit="1" customWidth="1"/>
    <col min="11786" max="12032" width="8.85546875" style="455"/>
    <col min="12033" max="12033" width="16.7109375" style="455" bestFit="1" customWidth="1"/>
    <col min="12034" max="12035" width="27.7109375" style="455" bestFit="1" customWidth="1"/>
    <col min="12036" max="12036" width="13.85546875" style="455" bestFit="1" customWidth="1"/>
    <col min="12037" max="12037" width="9.7109375" style="455" bestFit="1" customWidth="1"/>
    <col min="12038" max="12039" width="13.85546875" style="455" bestFit="1" customWidth="1"/>
    <col min="12040" max="12040" width="22.28515625" style="455" bestFit="1" customWidth="1"/>
    <col min="12041" max="12041" width="18.140625" style="455" bestFit="1" customWidth="1"/>
    <col min="12042" max="12288" width="8.85546875" style="455"/>
    <col min="12289" max="12289" width="16.7109375" style="455" bestFit="1" customWidth="1"/>
    <col min="12290" max="12291" width="27.7109375" style="455" bestFit="1" customWidth="1"/>
    <col min="12292" max="12292" width="13.85546875" style="455" bestFit="1" customWidth="1"/>
    <col min="12293" max="12293" width="9.7109375" style="455" bestFit="1" customWidth="1"/>
    <col min="12294" max="12295" width="13.85546875" style="455" bestFit="1" customWidth="1"/>
    <col min="12296" max="12296" width="22.28515625" style="455" bestFit="1" customWidth="1"/>
    <col min="12297" max="12297" width="18.140625" style="455" bestFit="1" customWidth="1"/>
    <col min="12298" max="12544" width="8.85546875" style="455"/>
    <col min="12545" max="12545" width="16.7109375" style="455" bestFit="1" customWidth="1"/>
    <col min="12546" max="12547" width="27.7109375" style="455" bestFit="1" customWidth="1"/>
    <col min="12548" max="12548" width="13.85546875" style="455" bestFit="1" customWidth="1"/>
    <col min="12549" max="12549" width="9.7109375" style="455" bestFit="1" customWidth="1"/>
    <col min="12550" max="12551" width="13.85546875" style="455" bestFit="1" customWidth="1"/>
    <col min="12552" max="12552" width="22.28515625" style="455" bestFit="1" customWidth="1"/>
    <col min="12553" max="12553" width="18.140625" style="455" bestFit="1" customWidth="1"/>
    <col min="12554" max="12800" width="8.85546875" style="455"/>
    <col min="12801" max="12801" width="16.7109375" style="455" bestFit="1" customWidth="1"/>
    <col min="12802" max="12803" width="27.7109375" style="455" bestFit="1" customWidth="1"/>
    <col min="12804" max="12804" width="13.85546875" style="455" bestFit="1" customWidth="1"/>
    <col min="12805" max="12805" width="9.7109375" style="455" bestFit="1" customWidth="1"/>
    <col min="12806" max="12807" width="13.85546875" style="455" bestFit="1" customWidth="1"/>
    <col min="12808" max="12808" width="22.28515625" style="455" bestFit="1" customWidth="1"/>
    <col min="12809" max="12809" width="18.140625" style="455" bestFit="1" customWidth="1"/>
    <col min="12810" max="13056" width="8.85546875" style="455"/>
    <col min="13057" max="13057" width="16.7109375" style="455" bestFit="1" customWidth="1"/>
    <col min="13058" max="13059" width="27.7109375" style="455" bestFit="1" customWidth="1"/>
    <col min="13060" max="13060" width="13.85546875" style="455" bestFit="1" customWidth="1"/>
    <col min="13061" max="13061" width="9.7109375" style="455" bestFit="1" customWidth="1"/>
    <col min="13062" max="13063" width="13.85546875" style="455" bestFit="1" customWidth="1"/>
    <col min="13064" max="13064" width="22.28515625" style="455" bestFit="1" customWidth="1"/>
    <col min="13065" max="13065" width="18.140625" style="455" bestFit="1" customWidth="1"/>
    <col min="13066" max="13312" width="8.85546875" style="455"/>
    <col min="13313" max="13313" width="16.7109375" style="455" bestFit="1" customWidth="1"/>
    <col min="13314" max="13315" width="27.7109375" style="455" bestFit="1" customWidth="1"/>
    <col min="13316" max="13316" width="13.85546875" style="455" bestFit="1" customWidth="1"/>
    <col min="13317" max="13317" width="9.7109375" style="455" bestFit="1" customWidth="1"/>
    <col min="13318" max="13319" width="13.85546875" style="455" bestFit="1" customWidth="1"/>
    <col min="13320" max="13320" width="22.28515625" style="455" bestFit="1" customWidth="1"/>
    <col min="13321" max="13321" width="18.140625" style="455" bestFit="1" customWidth="1"/>
    <col min="13322" max="13568" width="8.85546875" style="455"/>
    <col min="13569" max="13569" width="16.7109375" style="455" bestFit="1" customWidth="1"/>
    <col min="13570" max="13571" width="27.7109375" style="455" bestFit="1" customWidth="1"/>
    <col min="13572" max="13572" width="13.85546875" style="455" bestFit="1" customWidth="1"/>
    <col min="13573" max="13573" width="9.7109375" style="455" bestFit="1" customWidth="1"/>
    <col min="13574" max="13575" width="13.85546875" style="455" bestFit="1" customWidth="1"/>
    <col min="13576" max="13576" width="22.28515625" style="455" bestFit="1" customWidth="1"/>
    <col min="13577" max="13577" width="18.140625" style="455" bestFit="1" customWidth="1"/>
    <col min="13578" max="13824" width="8.85546875" style="455"/>
    <col min="13825" max="13825" width="16.7109375" style="455" bestFit="1" customWidth="1"/>
    <col min="13826" max="13827" width="27.7109375" style="455" bestFit="1" customWidth="1"/>
    <col min="13828" max="13828" width="13.85546875" style="455" bestFit="1" customWidth="1"/>
    <col min="13829" max="13829" width="9.7109375" style="455" bestFit="1" customWidth="1"/>
    <col min="13830" max="13831" width="13.85546875" style="455" bestFit="1" customWidth="1"/>
    <col min="13832" max="13832" width="22.28515625" style="455" bestFit="1" customWidth="1"/>
    <col min="13833" max="13833" width="18.140625" style="455" bestFit="1" customWidth="1"/>
    <col min="13834" max="14080" width="8.85546875" style="455"/>
    <col min="14081" max="14081" width="16.7109375" style="455" bestFit="1" customWidth="1"/>
    <col min="14082" max="14083" width="27.7109375" style="455" bestFit="1" customWidth="1"/>
    <col min="14084" max="14084" width="13.85546875" style="455" bestFit="1" customWidth="1"/>
    <col min="14085" max="14085" width="9.7109375" style="455" bestFit="1" customWidth="1"/>
    <col min="14086" max="14087" width="13.85546875" style="455" bestFit="1" customWidth="1"/>
    <col min="14088" max="14088" width="22.28515625" style="455" bestFit="1" customWidth="1"/>
    <col min="14089" max="14089" width="18.140625" style="455" bestFit="1" customWidth="1"/>
    <col min="14090" max="14336" width="8.85546875" style="455"/>
    <col min="14337" max="14337" width="16.7109375" style="455" bestFit="1" customWidth="1"/>
    <col min="14338" max="14339" width="27.7109375" style="455" bestFit="1" customWidth="1"/>
    <col min="14340" max="14340" width="13.85546875" style="455" bestFit="1" customWidth="1"/>
    <col min="14341" max="14341" width="9.7109375" style="455" bestFit="1" customWidth="1"/>
    <col min="14342" max="14343" width="13.85546875" style="455" bestFit="1" customWidth="1"/>
    <col min="14344" max="14344" width="22.28515625" style="455" bestFit="1" customWidth="1"/>
    <col min="14345" max="14345" width="18.140625" style="455" bestFit="1" customWidth="1"/>
    <col min="14346" max="14592" width="8.85546875" style="455"/>
    <col min="14593" max="14593" width="16.7109375" style="455" bestFit="1" customWidth="1"/>
    <col min="14594" max="14595" width="27.7109375" style="455" bestFit="1" customWidth="1"/>
    <col min="14596" max="14596" width="13.85546875" style="455" bestFit="1" customWidth="1"/>
    <col min="14597" max="14597" width="9.7109375" style="455" bestFit="1" customWidth="1"/>
    <col min="14598" max="14599" width="13.85546875" style="455" bestFit="1" customWidth="1"/>
    <col min="14600" max="14600" width="22.28515625" style="455" bestFit="1" customWidth="1"/>
    <col min="14601" max="14601" width="18.140625" style="455" bestFit="1" customWidth="1"/>
    <col min="14602" max="14848" width="8.85546875" style="455"/>
    <col min="14849" max="14849" width="16.7109375" style="455" bestFit="1" customWidth="1"/>
    <col min="14850" max="14851" width="27.7109375" style="455" bestFit="1" customWidth="1"/>
    <col min="14852" max="14852" width="13.85546875" style="455" bestFit="1" customWidth="1"/>
    <col min="14853" max="14853" width="9.7109375" style="455" bestFit="1" customWidth="1"/>
    <col min="14854" max="14855" width="13.85546875" style="455" bestFit="1" customWidth="1"/>
    <col min="14856" max="14856" width="22.28515625" style="455" bestFit="1" customWidth="1"/>
    <col min="14857" max="14857" width="18.140625" style="455" bestFit="1" customWidth="1"/>
    <col min="14858" max="15104" width="8.85546875" style="455"/>
    <col min="15105" max="15105" width="16.7109375" style="455" bestFit="1" customWidth="1"/>
    <col min="15106" max="15107" width="27.7109375" style="455" bestFit="1" customWidth="1"/>
    <col min="15108" max="15108" width="13.85546875" style="455" bestFit="1" customWidth="1"/>
    <col min="15109" max="15109" width="9.7109375" style="455" bestFit="1" customWidth="1"/>
    <col min="15110" max="15111" width="13.85546875" style="455" bestFit="1" customWidth="1"/>
    <col min="15112" max="15112" width="22.28515625" style="455" bestFit="1" customWidth="1"/>
    <col min="15113" max="15113" width="18.140625" style="455" bestFit="1" customWidth="1"/>
    <col min="15114" max="15360" width="8.85546875" style="455"/>
    <col min="15361" max="15361" width="16.7109375" style="455" bestFit="1" customWidth="1"/>
    <col min="15362" max="15363" width="27.7109375" style="455" bestFit="1" customWidth="1"/>
    <col min="15364" max="15364" width="13.85546875" style="455" bestFit="1" customWidth="1"/>
    <col min="15365" max="15365" width="9.7109375" style="455" bestFit="1" customWidth="1"/>
    <col min="15366" max="15367" width="13.85546875" style="455" bestFit="1" customWidth="1"/>
    <col min="15368" max="15368" width="22.28515625" style="455" bestFit="1" customWidth="1"/>
    <col min="15369" max="15369" width="18.140625" style="455" bestFit="1" customWidth="1"/>
    <col min="15370" max="15616" width="8.85546875" style="455"/>
    <col min="15617" max="15617" width="16.7109375" style="455" bestFit="1" customWidth="1"/>
    <col min="15618" max="15619" width="27.7109375" style="455" bestFit="1" customWidth="1"/>
    <col min="15620" max="15620" width="13.85546875" style="455" bestFit="1" customWidth="1"/>
    <col min="15621" max="15621" width="9.7109375" style="455" bestFit="1" customWidth="1"/>
    <col min="15622" max="15623" width="13.85546875" style="455" bestFit="1" customWidth="1"/>
    <col min="15624" max="15624" width="22.28515625" style="455" bestFit="1" customWidth="1"/>
    <col min="15625" max="15625" width="18.140625" style="455" bestFit="1" customWidth="1"/>
    <col min="15626" max="15872" width="8.85546875" style="455"/>
    <col min="15873" max="15873" width="16.7109375" style="455" bestFit="1" customWidth="1"/>
    <col min="15874" max="15875" width="27.7109375" style="455" bestFit="1" customWidth="1"/>
    <col min="15876" max="15876" width="13.85546875" style="455" bestFit="1" customWidth="1"/>
    <col min="15877" max="15877" width="9.7109375" style="455" bestFit="1" customWidth="1"/>
    <col min="15878" max="15879" width="13.85546875" style="455" bestFit="1" customWidth="1"/>
    <col min="15880" max="15880" width="22.28515625" style="455" bestFit="1" customWidth="1"/>
    <col min="15881" max="15881" width="18.140625" style="455" bestFit="1" customWidth="1"/>
    <col min="15882" max="16128" width="8.85546875" style="455"/>
    <col min="16129" max="16129" width="16.7109375" style="455" bestFit="1" customWidth="1"/>
    <col min="16130" max="16131" width="27.7109375" style="455" bestFit="1" customWidth="1"/>
    <col min="16132" max="16132" width="13.85546875" style="455" bestFit="1" customWidth="1"/>
    <col min="16133" max="16133" width="9.7109375" style="455" bestFit="1" customWidth="1"/>
    <col min="16134" max="16135" width="13.85546875" style="455" bestFit="1" customWidth="1"/>
    <col min="16136" max="16136" width="22.28515625" style="455" bestFit="1" customWidth="1"/>
    <col min="16137" max="16137" width="18.140625" style="455" bestFit="1" customWidth="1"/>
    <col min="16138" max="16384" width="8.85546875" style="455"/>
  </cols>
  <sheetData>
    <row r="1" spans="1:9" ht="16.149999999999999" customHeight="1">
      <c r="A1" s="698" t="s">
        <v>638</v>
      </c>
      <c r="B1" s="698"/>
      <c r="C1" s="698"/>
      <c r="D1" s="698"/>
      <c r="E1" s="698"/>
      <c r="F1" s="698"/>
      <c r="G1" s="698"/>
      <c r="H1" s="698"/>
      <c r="I1" s="698"/>
    </row>
    <row r="2" spans="1:9" ht="13.9" customHeight="1">
      <c r="A2" s="456"/>
    </row>
    <row r="3" spans="1:9" ht="13.9" customHeight="1">
      <c r="A3" s="457" t="s">
        <v>538</v>
      </c>
      <c r="B3" s="699" t="s">
        <v>539</v>
      </c>
      <c r="C3" s="700"/>
      <c r="D3" s="699" t="s">
        <v>540</v>
      </c>
      <c r="E3" s="700"/>
      <c r="F3" s="699" t="s">
        <v>548</v>
      </c>
      <c r="G3" s="701"/>
      <c r="H3" s="701"/>
      <c r="I3" s="700"/>
    </row>
    <row r="4" spans="1:9" ht="13.9" customHeight="1">
      <c r="A4" s="457" t="s">
        <v>511</v>
      </c>
      <c r="B4" s="457" t="s">
        <v>543</v>
      </c>
      <c r="C4" s="457" t="s">
        <v>639</v>
      </c>
      <c r="D4" s="457" t="s">
        <v>544</v>
      </c>
      <c r="E4" s="457" t="s">
        <v>545</v>
      </c>
      <c r="F4" s="457" t="s">
        <v>546</v>
      </c>
      <c r="G4" s="457" t="s">
        <v>547</v>
      </c>
      <c r="H4" s="457" t="s">
        <v>548</v>
      </c>
      <c r="I4" s="457" t="s">
        <v>549</v>
      </c>
    </row>
    <row r="5" spans="1:9" ht="16.149999999999999" customHeight="1">
      <c r="A5" s="458" t="s">
        <v>550</v>
      </c>
      <c r="B5" s="459">
        <v>192656</v>
      </c>
      <c r="C5" s="459">
        <v>208474</v>
      </c>
      <c r="D5" s="459">
        <v>15818</v>
      </c>
      <c r="E5" s="459">
        <v>8.1999999999999993</v>
      </c>
      <c r="F5" s="459">
        <v>21466</v>
      </c>
      <c r="G5" s="459">
        <v>21974</v>
      </c>
      <c r="H5" s="459">
        <v>-508</v>
      </c>
      <c r="I5" s="459">
        <v>16326</v>
      </c>
    </row>
    <row r="6" spans="1:9" ht="16.149999999999999" customHeight="1">
      <c r="A6" s="458" t="s">
        <v>551</v>
      </c>
      <c r="B6" s="459">
        <v>41021</v>
      </c>
      <c r="C6" s="459">
        <v>43062</v>
      </c>
      <c r="D6" s="459">
        <v>2041</v>
      </c>
      <c r="E6" s="459">
        <v>5</v>
      </c>
      <c r="F6" s="459">
        <v>3807</v>
      </c>
      <c r="G6" s="459">
        <v>5609</v>
      </c>
      <c r="H6" s="459">
        <v>-1802</v>
      </c>
      <c r="I6" s="459">
        <v>3843</v>
      </c>
    </row>
    <row r="7" spans="1:9" ht="16.149999999999999" customHeight="1">
      <c r="A7" s="458" t="s">
        <v>552</v>
      </c>
      <c r="B7" s="459">
        <v>11948</v>
      </c>
      <c r="C7" s="459">
        <v>12346</v>
      </c>
      <c r="D7" s="459">
        <v>398</v>
      </c>
      <c r="E7" s="459">
        <v>3.3</v>
      </c>
      <c r="F7" s="459">
        <v>1139</v>
      </c>
      <c r="G7" s="459">
        <v>1649</v>
      </c>
      <c r="H7" s="459">
        <v>-510</v>
      </c>
      <c r="I7" s="459">
        <v>908</v>
      </c>
    </row>
    <row r="8" spans="1:9" ht="16.149999999999999" customHeight="1">
      <c r="A8" s="458" t="s">
        <v>553</v>
      </c>
      <c r="B8" s="459">
        <v>25288</v>
      </c>
      <c r="C8" s="459">
        <v>25288</v>
      </c>
      <c r="D8" s="459">
        <v>0</v>
      </c>
      <c r="E8" s="459">
        <v>0</v>
      </c>
      <c r="F8" s="459">
        <v>2043</v>
      </c>
      <c r="G8" s="459">
        <v>3312</v>
      </c>
      <c r="H8" s="459">
        <v>-1269</v>
      </c>
      <c r="I8" s="459">
        <v>1269</v>
      </c>
    </row>
    <row r="9" spans="1:9" ht="16.149999999999999" customHeight="1">
      <c r="A9" s="458" t="s">
        <v>554</v>
      </c>
      <c r="B9" s="459">
        <v>30906</v>
      </c>
      <c r="C9" s="459">
        <v>33392</v>
      </c>
      <c r="D9" s="459">
        <v>2486</v>
      </c>
      <c r="E9" s="459">
        <v>8</v>
      </c>
      <c r="F9" s="459">
        <v>2429</v>
      </c>
      <c r="G9" s="459">
        <v>4643</v>
      </c>
      <c r="H9" s="459">
        <v>-2214</v>
      </c>
      <c r="I9" s="459">
        <v>4700</v>
      </c>
    </row>
    <row r="10" spans="1:9" ht="16.149999999999999" customHeight="1">
      <c r="A10" s="458" t="s">
        <v>555</v>
      </c>
      <c r="B10" s="459">
        <v>18031</v>
      </c>
      <c r="C10" s="459">
        <v>18031</v>
      </c>
      <c r="D10" s="459">
        <v>0</v>
      </c>
      <c r="E10" s="459">
        <v>0</v>
      </c>
      <c r="F10" s="459">
        <v>1180</v>
      </c>
      <c r="G10" s="459">
        <v>2415</v>
      </c>
      <c r="H10" s="459">
        <v>-1235</v>
      </c>
      <c r="I10" s="459">
        <v>1235</v>
      </c>
    </row>
    <row r="11" spans="1:9" ht="16.149999999999999" customHeight="1">
      <c r="A11" s="458" t="s">
        <v>556</v>
      </c>
      <c r="B11" s="459">
        <v>47575</v>
      </c>
      <c r="C11" s="459">
        <v>47650</v>
      </c>
      <c r="D11" s="459">
        <v>75</v>
      </c>
      <c r="E11" s="459">
        <v>0.2</v>
      </c>
      <c r="F11" s="459">
        <v>4198</v>
      </c>
      <c r="G11" s="459">
        <v>7252</v>
      </c>
      <c r="H11" s="459">
        <v>-3054</v>
      </c>
      <c r="I11" s="459">
        <v>3129</v>
      </c>
    </row>
    <row r="12" spans="1:9" ht="16.149999999999999" customHeight="1">
      <c r="A12" s="458" t="s">
        <v>522</v>
      </c>
      <c r="B12" s="459">
        <v>19601</v>
      </c>
      <c r="C12" s="459">
        <v>19600</v>
      </c>
      <c r="D12" s="459">
        <v>-1</v>
      </c>
      <c r="E12" s="459">
        <v>0</v>
      </c>
      <c r="F12" s="459">
        <v>1477</v>
      </c>
      <c r="G12" s="459">
        <v>2620</v>
      </c>
      <c r="H12" s="459">
        <v>-1143</v>
      </c>
      <c r="I12" s="459">
        <v>1142</v>
      </c>
    </row>
    <row r="13" spans="1:9" ht="16.149999999999999" customHeight="1">
      <c r="A13" s="458" t="s">
        <v>557</v>
      </c>
      <c r="B13" s="459">
        <v>33912</v>
      </c>
      <c r="C13" s="459">
        <v>33436</v>
      </c>
      <c r="D13" s="459">
        <v>-476</v>
      </c>
      <c r="E13" s="459">
        <v>-1.4</v>
      </c>
      <c r="F13" s="459">
        <v>3296</v>
      </c>
      <c r="G13" s="459">
        <v>4471</v>
      </c>
      <c r="H13" s="459">
        <v>-1175</v>
      </c>
      <c r="I13" s="459">
        <v>699</v>
      </c>
    </row>
    <row r="14" spans="1:9" ht="16.149999999999999" customHeight="1">
      <c r="A14" s="458" t="s">
        <v>558</v>
      </c>
      <c r="B14" s="459">
        <v>179854</v>
      </c>
      <c r="C14" s="459">
        <v>210202</v>
      </c>
      <c r="D14" s="459">
        <v>30348</v>
      </c>
      <c r="E14" s="459">
        <v>16.899999999999999</v>
      </c>
      <c r="F14" s="459">
        <v>12850</v>
      </c>
      <c r="G14" s="459">
        <v>29436</v>
      </c>
      <c r="H14" s="459">
        <v>-16586</v>
      </c>
      <c r="I14" s="459">
        <v>46934</v>
      </c>
    </row>
    <row r="15" spans="1:9" ht="16.149999999999999" customHeight="1">
      <c r="A15" s="458" t="s">
        <v>559</v>
      </c>
      <c r="B15" s="459">
        <v>296961</v>
      </c>
      <c r="C15" s="459">
        <v>323879</v>
      </c>
      <c r="D15" s="459">
        <v>26918</v>
      </c>
      <c r="E15" s="459">
        <v>9.1</v>
      </c>
      <c r="F15" s="459">
        <v>25282</v>
      </c>
      <c r="G15" s="459">
        <v>35417</v>
      </c>
      <c r="H15" s="459">
        <v>-10135</v>
      </c>
      <c r="I15" s="459">
        <v>37053</v>
      </c>
    </row>
    <row r="16" spans="1:9" ht="16.149999999999999" customHeight="1">
      <c r="A16" s="458" t="s">
        <v>560</v>
      </c>
      <c r="B16" s="459">
        <v>95263</v>
      </c>
      <c r="C16" s="459">
        <v>98257</v>
      </c>
      <c r="D16" s="459">
        <v>2994</v>
      </c>
      <c r="E16" s="459">
        <v>3.1</v>
      </c>
      <c r="F16" s="459">
        <v>8974</v>
      </c>
      <c r="G16" s="459">
        <v>12401</v>
      </c>
      <c r="H16" s="459">
        <v>-3427</v>
      </c>
      <c r="I16" s="459">
        <v>6421</v>
      </c>
    </row>
    <row r="17" spans="1:9" ht="16.149999999999999" customHeight="1">
      <c r="A17" s="458" t="s">
        <v>561</v>
      </c>
      <c r="B17" s="459">
        <v>259075</v>
      </c>
      <c r="C17" s="459">
        <v>297591</v>
      </c>
      <c r="D17" s="459">
        <v>38516</v>
      </c>
      <c r="E17" s="459">
        <v>14.9</v>
      </c>
      <c r="F17" s="459">
        <v>33242</v>
      </c>
      <c r="G17" s="459">
        <v>25044</v>
      </c>
      <c r="H17" s="459">
        <v>8198</v>
      </c>
      <c r="I17" s="459">
        <v>30318</v>
      </c>
    </row>
    <row r="18" spans="1:9" ht="16.149999999999999" customHeight="1">
      <c r="A18" s="458" t="s">
        <v>562</v>
      </c>
      <c r="B18" s="459">
        <v>87711</v>
      </c>
      <c r="C18" s="459">
        <v>91152</v>
      </c>
      <c r="D18" s="459">
        <v>3441</v>
      </c>
      <c r="E18" s="459">
        <v>3.9</v>
      </c>
      <c r="F18" s="459">
        <v>8208</v>
      </c>
      <c r="G18" s="459">
        <v>11654</v>
      </c>
      <c r="H18" s="459">
        <v>-3446</v>
      </c>
      <c r="I18" s="459">
        <v>6887</v>
      </c>
    </row>
    <row r="19" spans="1:9" ht="16.149999999999999" customHeight="1">
      <c r="A19" s="458" t="s">
        <v>529</v>
      </c>
      <c r="B19" s="459">
        <v>11266</v>
      </c>
      <c r="C19" s="459">
        <v>11403</v>
      </c>
      <c r="D19" s="459">
        <v>137</v>
      </c>
      <c r="E19" s="459">
        <v>1.2</v>
      </c>
      <c r="F19" s="459">
        <v>924</v>
      </c>
      <c r="G19" s="459">
        <v>1250</v>
      </c>
      <c r="H19" s="459">
        <v>-326</v>
      </c>
      <c r="I19" s="459">
        <v>463</v>
      </c>
    </row>
    <row r="20" spans="1:9" ht="16.149999999999999" customHeight="1">
      <c r="A20" s="458" t="s">
        <v>563</v>
      </c>
      <c r="B20" s="459">
        <v>76536</v>
      </c>
      <c r="C20" s="459">
        <v>80960</v>
      </c>
      <c r="D20" s="459">
        <v>4424</v>
      </c>
      <c r="E20" s="459">
        <v>5.8</v>
      </c>
      <c r="F20" s="459">
        <v>5706</v>
      </c>
      <c r="G20" s="459">
        <v>10906</v>
      </c>
      <c r="H20" s="459">
        <v>-5200</v>
      </c>
      <c r="I20" s="459">
        <v>9624</v>
      </c>
    </row>
    <row r="21" spans="1:9" ht="16.149999999999999" customHeight="1">
      <c r="A21" s="458" t="s">
        <v>564</v>
      </c>
      <c r="B21" s="459">
        <v>23665</v>
      </c>
      <c r="C21" s="459">
        <v>23667</v>
      </c>
      <c r="D21" s="459">
        <v>2</v>
      </c>
      <c r="E21" s="459">
        <v>0</v>
      </c>
      <c r="F21" s="459">
        <v>1920</v>
      </c>
      <c r="G21" s="459">
        <v>3357</v>
      </c>
      <c r="H21" s="459">
        <v>-1437</v>
      </c>
      <c r="I21" s="459">
        <v>1439</v>
      </c>
    </row>
    <row r="22" spans="1:9" ht="16.149999999999999" customHeight="1">
      <c r="A22" s="458" t="s">
        <v>565</v>
      </c>
      <c r="B22" s="459">
        <v>170616</v>
      </c>
      <c r="C22" s="459">
        <v>179716</v>
      </c>
      <c r="D22" s="459">
        <v>9100</v>
      </c>
      <c r="E22" s="459">
        <v>5.3</v>
      </c>
      <c r="F22" s="459">
        <v>18317</v>
      </c>
      <c r="G22" s="459">
        <v>21827</v>
      </c>
      <c r="H22" s="459">
        <v>-3510</v>
      </c>
      <c r="I22" s="459">
        <v>12610</v>
      </c>
    </row>
    <row r="23" spans="1:9" ht="16.149999999999999" customHeight="1">
      <c r="A23" s="458" t="s">
        <v>566</v>
      </c>
      <c r="B23" s="459">
        <v>94920</v>
      </c>
      <c r="C23" s="459">
        <v>110406</v>
      </c>
      <c r="D23" s="459">
        <v>15486</v>
      </c>
      <c r="E23" s="459">
        <v>16.3</v>
      </c>
      <c r="F23" s="459">
        <v>8562</v>
      </c>
      <c r="G23" s="459">
        <v>13215</v>
      </c>
      <c r="H23" s="459">
        <v>-4653</v>
      </c>
      <c r="I23" s="459">
        <v>20139</v>
      </c>
    </row>
    <row r="24" spans="1:9" ht="16.149999999999999" customHeight="1">
      <c r="A24" s="458" t="s">
        <v>567</v>
      </c>
      <c r="B24" s="459">
        <v>32681</v>
      </c>
      <c r="C24" s="459">
        <v>34304</v>
      </c>
      <c r="D24" s="459">
        <v>1623</v>
      </c>
      <c r="E24" s="459">
        <v>5</v>
      </c>
      <c r="F24" s="459">
        <v>2379</v>
      </c>
      <c r="G24" s="459">
        <v>5250</v>
      </c>
      <c r="H24" s="459">
        <v>-2871</v>
      </c>
      <c r="I24" s="459">
        <v>4494</v>
      </c>
    </row>
    <row r="25" spans="1:9" ht="16.149999999999999" customHeight="1">
      <c r="A25" s="458" t="s">
        <v>524</v>
      </c>
      <c r="B25" s="459">
        <v>13592</v>
      </c>
      <c r="C25" s="459">
        <v>13164</v>
      </c>
      <c r="D25" s="459">
        <v>-428</v>
      </c>
      <c r="E25" s="459">
        <v>-3.1</v>
      </c>
      <c r="F25" s="459">
        <v>1274</v>
      </c>
      <c r="G25" s="459">
        <v>1881</v>
      </c>
      <c r="H25" s="459">
        <v>-607</v>
      </c>
      <c r="I25" s="459">
        <v>179</v>
      </c>
    </row>
    <row r="26" spans="1:9" ht="16.149999999999999" customHeight="1">
      <c r="A26" s="458" t="s">
        <v>568</v>
      </c>
      <c r="B26" s="459">
        <v>13770</v>
      </c>
      <c r="C26" s="459">
        <v>14978</v>
      </c>
      <c r="D26" s="459">
        <v>1208</v>
      </c>
      <c r="E26" s="459">
        <v>8.8000000000000007</v>
      </c>
      <c r="F26" s="459">
        <v>1114</v>
      </c>
      <c r="G26" s="459">
        <v>2133</v>
      </c>
      <c r="H26" s="459">
        <v>-1019</v>
      </c>
      <c r="I26" s="459">
        <v>2227</v>
      </c>
    </row>
    <row r="27" spans="1:9" ht="16.149999999999999" customHeight="1">
      <c r="A27" s="458" t="s">
        <v>569</v>
      </c>
      <c r="B27" s="459">
        <v>102157</v>
      </c>
      <c r="C27" s="459">
        <v>102361</v>
      </c>
      <c r="D27" s="459">
        <v>204</v>
      </c>
      <c r="E27" s="459">
        <v>0.2</v>
      </c>
      <c r="F27" s="459">
        <v>10265</v>
      </c>
      <c r="G27" s="459">
        <v>13822</v>
      </c>
      <c r="H27" s="459">
        <v>-3557</v>
      </c>
      <c r="I27" s="459">
        <v>3761</v>
      </c>
    </row>
    <row r="28" spans="1:9" ht="16.149999999999999" customHeight="1">
      <c r="A28" s="458" t="s">
        <v>570</v>
      </c>
      <c r="B28" s="459">
        <v>56219</v>
      </c>
      <c r="C28" s="459">
        <v>56218</v>
      </c>
      <c r="D28" s="459">
        <v>-1</v>
      </c>
      <c r="E28" s="459">
        <v>0</v>
      </c>
      <c r="F28" s="459">
        <v>5616</v>
      </c>
      <c r="G28" s="459">
        <v>7511</v>
      </c>
      <c r="H28" s="459">
        <v>-1895</v>
      </c>
      <c r="I28" s="459">
        <v>1894</v>
      </c>
    </row>
    <row r="29" spans="1:9" ht="16.149999999999999" customHeight="1">
      <c r="A29" s="458" t="s">
        <v>571</v>
      </c>
      <c r="B29" s="459">
        <v>104846</v>
      </c>
      <c r="C29" s="459">
        <v>104982</v>
      </c>
      <c r="D29" s="459">
        <v>136</v>
      </c>
      <c r="E29" s="459">
        <v>0.1</v>
      </c>
      <c r="F29" s="459">
        <v>14098</v>
      </c>
      <c r="G29" s="459">
        <v>10502</v>
      </c>
      <c r="H29" s="459">
        <v>3596</v>
      </c>
      <c r="I29" s="459">
        <v>-3460</v>
      </c>
    </row>
    <row r="30" spans="1:9" ht="16.149999999999999" customHeight="1">
      <c r="A30" s="458" t="s">
        <v>572</v>
      </c>
      <c r="B30" s="459">
        <v>335069</v>
      </c>
      <c r="C30" s="459">
        <v>335137</v>
      </c>
      <c r="D30" s="459">
        <v>68</v>
      </c>
      <c r="E30" s="459">
        <v>0</v>
      </c>
      <c r="F30" s="459">
        <v>39305</v>
      </c>
      <c r="G30" s="459">
        <v>31126</v>
      </c>
      <c r="H30" s="459">
        <v>8179</v>
      </c>
      <c r="I30" s="459">
        <v>-8111</v>
      </c>
    </row>
    <row r="31" spans="1:9" ht="16.149999999999999" customHeight="1">
      <c r="A31" s="458" t="s">
        <v>573</v>
      </c>
      <c r="B31" s="459">
        <v>32219</v>
      </c>
      <c r="C31" s="459">
        <v>36058</v>
      </c>
      <c r="D31" s="459">
        <v>3839</v>
      </c>
      <c r="E31" s="459">
        <v>11.9</v>
      </c>
      <c r="F31" s="459">
        <v>2883</v>
      </c>
      <c r="G31" s="459">
        <v>3737</v>
      </c>
      <c r="H31" s="459">
        <v>-854</v>
      </c>
      <c r="I31" s="459">
        <v>4693</v>
      </c>
    </row>
    <row r="32" spans="1:9" ht="16.149999999999999" customHeight="1">
      <c r="A32" s="458" t="s">
        <v>521</v>
      </c>
      <c r="B32" s="459">
        <v>39333</v>
      </c>
      <c r="C32" s="459">
        <v>40066</v>
      </c>
      <c r="D32" s="459">
        <v>733</v>
      </c>
      <c r="E32" s="459">
        <v>1.9</v>
      </c>
      <c r="F32" s="459">
        <v>3427</v>
      </c>
      <c r="G32" s="459">
        <v>5046</v>
      </c>
      <c r="H32" s="459">
        <v>-1619</v>
      </c>
      <c r="I32" s="459">
        <v>2352</v>
      </c>
    </row>
    <row r="33" spans="1:9" ht="16.149999999999999" customHeight="1">
      <c r="A33" s="458" t="s">
        <v>574</v>
      </c>
      <c r="B33" s="459">
        <v>184987</v>
      </c>
      <c r="C33" s="459">
        <v>197678</v>
      </c>
      <c r="D33" s="459">
        <v>12691</v>
      </c>
      <c r="E33" s="459">
        <v>6.9</v>
      </c>
      <c r="F33" s="459">
        <v>19030</v>
      </c>
      <c r="G33" s="459">
        <v>23043</v>
      </c>
      <c r="H33" s="459">
        <v>-4013</v>
      </c>
      <c r="I33" s="459">
        <v>16704</v>
      </c>
    </row>
    <row r="34" spans="1:9" ht="16.149999999999999" customHeight="1">
      <c r="A34" s="458" t="s">
        <v>575</v>
      </c>
      <c r="B34" s="459">
        <v>49615</v>
      </c>
      <c r="C34" s="459">
        <v>54699</v>
      </c>
      <c r="D34" s="459">
        <v>5084</v>
      </c>
      <c r="E34" s="459">
        <v>10.199999999999999</v>
      </c>
      <c r="F34" s="459">
        <v>4551</v>
      </c>
      <c r="G34" s="459">
        <v>6643</v>
      </c>
      <c r="H34" s="459">
        <v>-2092</v>
      </c>
      <c r="I34" s="459">
        <v>7176</v>
      </c>
    </row>
    <row r="35" spans="1:9" ht="16.149999999999999" customHeight="1">
      <c r="A35" s="458" t="s">
        <v>576</v>
      </c>
      <c r="B35" s="459">
        <v>59932</v>
      </c>
      <c r="C35" s="459">
        <v>60038</v>
      </c>
      <c r="D35" s="459">
        <v>106</v>
      </c>
      <c r="E35" s="459">
        <v>0.2</v>
      </c>
      <c r="F35" s="459">
        <v>7082</v>
      </c>
      <c r="G35" s="459">
        <v>6179</v>
      </c>
      <c r="H35" s="459">
        <v>903</v>
      </c>
      <c r="I35" s="459">
        <v>-797</v>
      </c>
    </row>
    <row r="36" spans="1:9" ht="16.149999999999999" customHeight="1">
      <c r="A36" s="458" t="s">
        <v>577</v>
      </c>
      <c r="B36" s="459">
        <v>366111</v>
      </c>
      <c r="C36" s="459">
        <v>407324</v>
      </c>
      <c r="D36" s="459">
        <v>41213</v>
      </c>
      <c r="E36" s="459">
        <v>11.3</v>
      </c>
      <c r="F36" s="459">
        <v>49296</v>
      </c>
      <c r="G36" s="459">
        <v>30223</v>
      </c>
      <c r="H36" s="459">
        <v>19073</v>
      </c>
      <c r="I36" s="459">
        <v>22140</v>
      </c>
    </row>
    <row r="37" spans="1:9" ht="16.149999999999999" customHeight="1">
      <c r="A37" s="458" t="s">
        <v>520</v>
      </c>
      <c r="B37" s="459">
        <v>51062</v>
      </c>
      <c r="C37" s="459">
        <v>49813</v>
      </c>
      <c r="D37" s="459">
        <v>-1249</v>
      </c>
      <c r="E37" s="459">
        <v>-2.4</v>
      </c>
      <c r="F37" s="459">
        <v>5405</v>
      </c>
      <c r="G37" s="459">
        <v>6890</v>
      </c>
      <c r="H37" s="459">
        <v>-1485</v>
      </c>
      <c r="I37" s="459">
        <v>236</v>
      </c>
    </row>
    <row r="38" spans="1:9" ht="16.149999999999999" customHeight="1">
      <c r="A38" s="458" t="s">
        <v>578</v>
      </c>
      <c r="B38" s="459">
        <v>418257</v>
      </c>
      <c r="C38" s="459">
        <v>450125</v>
      </c>
      <c r="D38" s="459">
        <v>31868</v>
      </c>
      <c r="E38" s="459">
        <v>7.6</v>
      </c>
      <c r="F38" s="459">
        <v>48396</v>
      </c>
      <c r="G38" s="459">
        <v>43329</v>
      </c>
      <c r="H38" s="459">
        <v>5067</v>
      </c>
      <c r="I38" s="459">
        <v>26801</v>
      </c>
    </row>
    <row r="39" spans="1:9" ht="16.149999999999999" customHeight="1">
      <c r="A39" s="458" t="s">
        <v>516</v>
      </c>
      <c r="B39" s="459">
        <v>81204</v>
      </c>
      <c r="C39" s="459">
        <v>91096</v>
      </c>
      <c r="D39" s="459">
        <v>9892</v>
      </c>
      <c r="E39" s="459">
        <v>12.2</v>
      </c>
      <c r="F39" s="459">
        <v>8456</v>
      </c>
      <c r="G39" s="459">
        <v>9567</v>
      </c>
      <c r="H39" s="459">
        <v>-1111</v>
      </c>
      <c r="I39" s="459">
        <v>11003</v>
      </c>
    </row>
    <row r="40" spans="1:9" ht="16.149999999999999" customHeight="1">
      <c r="A40" s="458" t="s">
        <v>579</v>
      </c>
      <c r="B40" s="459">
        <v>239285</v>
      </c>
      <c r="C40" s="459">
        <v>253970</v>
      </c>
      <c r="D40" s="459">
        <v>14685</v>
      </c>
      <c r="E40" s="459">
        <v>6.1</v>
      </c>
      <c r="F40" s="459">
        <v>25896</v>
      </c>
      <c r="G40" s="459">
        <v>28323</v>
      </c>
      <c r="H40" s="459">
        <v>-2427</v>
      </c>
      <c r="I40" s="459">
        <v>17112</v>
      </c>
    </row>
    <row r="41" spans="1:9" ht="16.149999999999999" customHeight="1">
      <c r="A41" s="458" t="s">
        <v>580</v>
      </c>
      <c r="B41" s="459">
        <v>12254</v>
      </c>
      <c r="C41" s="459">
        <v>12261</v>
      </c>
      <c r="D41" s="459">
        <v>7</v>
      </c>
      <c r="E41" s="459">
        <v>0.1</v>
      </c>
      <c r="F41" s="459">
        <v>792</v>
      </c>
      <c r="G41" s="459">
        <v>1531</v>
      </c>
      <c r="H41" s="459">
        <v>-739</v>
      </c>
      <c r="I41" s="459">
        <v>746</v>
      </c>
    </row>
    <row r="42" spans="1:9" ht="16.149999999999999" customHeight="1">
      <c r="A42" s="458" t="s">
        <v>536</v>
      </c>
      <c r="B42" s="459">
        <v>8686</v>
      </c>
      <c r="C42" s="459">
        <v>8687</v>
      </c>
      <c r="D42" s="459">
        <v>1</v>
      </c>
      <c r="E42" s="459">
        <v>0</v>
      </c>
      <c r="F42" s="459">
        <v>787</v>
      </c>
      <c r="G42" s="459">
        <v>1176</v>
      </c>
      <c r="H42" s="459">
        <v>-389</v>
      </c>
      <c r="I42" s="459">
        <v>390</v>
      </c>
    </row>
    <row r="43" spans="1:9" ht="16.149999999999999" customHeight="1">
      <c r="A43" s="458" t="s">
        <v>581</v>
      </c>
      <c r="B43" s="459">
        <v>69540</v>
      </c>
      <c r="C43" s="459">
        <v>76197</v>
      </c>
      <c r="D43" s="459">
        <v>6657</v>
      </c>
      <c r="E43" s="459">
        <v>9.6</v>
      </c>
      <c r="F43" s="459">
        <v>6336</v>
      </c>
      <c r="G43" s="459">
        <v>8270</v>
      </c>
      <c r="H43" s="459">
        <v>-1934</v>
      </c>
      <c r="I43" s="459">
        <v>8591</v>
      </c>
    </row>
    <row r="44" spans="1:9" ht="16.149999999999999" customHeight="1">
      <c r="A44" s="458" t="s">
        <v>582</v>
      </c>
      <c r="B44" s="459">
        <v>21050</v>
      </c>
      <c r="C44" s="459">
        <v>21050</v>
      </c>
      <c r="D44" s="459">
        <v>0</v>
      </c>
      <c r="E44" s="459">
        <v>0</v>
      </c>
      <c r="F44" s="459">
        <v>2062</v>
      </c>
      <c r="G44" s="459">
        <v>2506</v>
      </c>
      <c r="H44" s="459">
        <v>-444</v>
      </c>
      <c r="I44" s="459">
        <v>444</v>
      </c>
    </row>
    <row r="45" spans="1:9" ht="16.149999999999999" customHeight="1">
      <c r="A45" s="458" t="s">
        <v>583</v>
      </c>
      <c r="B45" s="459">
        <v>615227</v>
      </c>
      <c r="C45" s="459">
        <v>688100</v>
      </c>
      <c r="D45" s="459">
        <v>72873</v>
      </c>
      <c r="E45" s="459">
        <v>11.8</v>
      </c>
      <c r="F45" s="459">
        <v>70751</v>
      </c>
      <c r="G45" s="459">
        <v>60614</v>
      </c>
      <c r="H45" s="459">
        <v>10137</v>
      </c>
      <c r="I45" s="459">
        <v>62736</v>
      </c>
    </row>
    <row r="46" spans="1:9" ht="16.149999999999999" customHeight="1">
      <c r="A46" s="458" t="s">
        <v>584</v>
      </c>
      <c r="B46" s="459">
        <v>47259</v>
      </c>
      <c r="C46" s="459">
        <v>44040</v>
      </c>
      <c r="D46" s="459">
        <v>-3219</v>
      </c>
      <c r="E46" s="459">
        <v>-6.8</v>
      </c>
      <c r="F46" s="459">
        <v>4509</v>
      </c>
      <c r="G46" s="459">
        <v>6541</v>
      </c>
      <c r="H46" s="459">
        <v>-2032</v>
      </c>
      <c r="I46" s="459">
        <v>-1187</v>
      </c>
    </row>
    <row r="47" spans="1:9" ht="16.149999999999999" customHeight="1">
      <c r="A47" s="458" t="s">
        <v>585</v>
      </c>
      <c r="B47" s="459">
        <v>158563</v>
      </c>
      <c r="C47" s="459">
        <v>177650</v>
      </c>
      <c r="D47" s="459">
        <v>19087</v>
      </c>
      <c r="E47" s="459">
        <v>12</v>
      </c>
      <c r="F47" s="459">
        <v>21070</v>
      </c>
      <c r="G47" s="459">
        <v>14407</v>
      </c>
      <c r="H47" s="459">
        <v>6663</v>
      </c>
      <c r="I47" s="459">
        <v>12424</v>
      </c>
    </row>
    <row r="48" spans="1:9" ht="16.149999999999999" customHeight="1">
      <c r="A48" s="458" t="s">
        <v>586</v>
      </c>
      <c r="B48" s="459">
        <v>68680</v>
      </c>
      <c r="C48" s="459">
        <v>73061</v>
      </c>
      <c r="D48" s="459">
        <v>4381</v>
      </c>
      <c r="E48" s="459">
        <v>6.4</v>
      </c>
      <c r="F48" s="459">
        <v>6154</v>
      </c>
      <c r="G48" s="459">
        <v>9878</v>
      </c>
      <c r="H48" s="459">
        <v>-3724</v>
      </c>
      <c r="I48" s="459">
        <v>8105</v>
      </c>
    </row>
    <row r="49" spans="1:9" ht="16.149999999999999" customHeight="1">
      <c r="A49" s="458" t="s">
        <v>587</v>
      </c>
      <c r="B49" s="459">
        <v>132035</v>
      </c>
      <c r="C49" s="459">
        <v>140668</v>
      </c>
      <c r="D49" s="459">
        <v>8633</v>
      </c>
      <c r="E49" s="459">
        <v>6.5</v>
      </c>
      <c r="F49" s="459">
        <v>12426</v>
      </c>
      <c r="G49" s="459">
        <v>19086</v>
      </c>
      <c r="H49" s="459">
        <v>-6660</v>
      </c>
      <c r="I49" s="459">
        <v>15293</v>
      </c>
    </row>
    <row r="50" spans="1:9" ht="16.149999999999999" customHeight="1">
      <c r="A50" s="458" t="s">
        <v>588</v>
      </c>
      <c r="B50" s="459">
        <v>24006</v>
      </c>
      <c r="C50" s="459">
        <v>24005</v>
      </c>
      <c r="D50" s="459">
        <v>-1</v>
      </c>
      <c r="E50" s="459">
        <v>0</v>
      </c>
      <c r="F50" s="459">
        <v>2061</v>
      </c>
      <c r="G50" s="459">
        <v>3221</v>
      </c>
      <c r="H50" s="459">
        <v>-1160</v>
      </c>
      <c r="I50" s="459">
        <v>1159</v>
      </c>
    </row>
    <row r="51" spans="1:9" ht="16.149999999999999" customHeight="1">
      <c r="A51" s="458" t="s">
        <v>589</v>
      </c>
      <c r="B51" s="459">
        <v>66691</v>
      </c>
      <c r="C51" s="459">
        <v>76686</v>
      </c>
      <c r="D51" s="459">
        <v>9995</v>
      </c>
      <c r="E51" s="459">
        <v>15</v>
      </c>
      <c r="F51" s="459">
        <v>10506</v>
      </c>
      <c r="G51" s="459">
        <v>5332</v>
      </c>
      <c r="H51" s="459">
        <v>5174</v>
      </c>
      <c r="I51" s="459">
        <v>4821</v>
      </c>
    </row>
    <row r="52" spans="1:9" ht="16.149999999999999" customHeight="1">
      <c r="A52" s="458" t="s">
        <v>590</v>
      </c>
      <c r="B52" s="459">
        <v>4929</v>
      </c>
      <c r="C52" s="459">
        <v>4724</v>
      </c>
      <c r="D52" s="459">
        <v>-205</v>
      </c>
      <c r="E52" s="459">
        <v>-4.2</v>
      </c>
      <c r="F52" s="459">
        <v>396</v>
      </c>
      <c r="G52" s="459">
        <v>708</v>
      </c>
      <c r="H52" s="459">
        <v>-312</v>
      </c>
      <c r="I52" s="459">
        <v>107</v>
      </c>
    </row>
    <row r="53" spans="1:9" ht="16.149999999999999" customHeight="1">
      <c r="A53" s="458" t="s">
        <v>591</v>
      </c>
      <c r="B53" s="459">
        <v>210452</v>
      </c>
      <c r="C53" s="459">
        <v>234236</v>
      </c>
      <c r="D53" s="459">
        <v>23784</v>
      </c>
      <c r="E53" s="459">
        <v>11.3</v>
      </c>
      <c r="F53" s="459">
        <v>22699</v>
      </c>
      <c r="G53" s="459">
        <v>23757</v>
      </c>
      <c r="H53" s="459">
        <v>-1058</v>
      </c>
      <c r="I53" s="459">
        <v>24842</v>
      </c>
    </row>
    <row r="54" spans="1:9" ht="16.149999999999999" customHeight="1">
      <c r="A54" s="458" t="s">
        <v>592</v>
      </c>
      <c r="B54" s="459">
        <v>49995</v>
      </c>
      <c r="C54" s="459">
        <v>54624</v>
      </c>
      <c r="D54" s="459">
        <v>4629</v>
      </c>
      <c r="E54" s="459">
        <v>9.3000000000000007</v>
      </c>
      <c r="F54" s="459">
        <v>4373</v>
      </c>
      <c r="G54" s="459">
        <v>5450</v>
      </c>
      <c r="H54" s="459">
        <v>-1077</v>
      </c>
      <c r="I54" s="459">
        <v>5706</v>
      </c>
    </row>
    <row r="55" spans="1:9" ht="16.149999999999999" customHeight="1">
      <c r="A55" s="458" t="s">
        <v>593</v>
      </c>
      <c r="B55" s="459">
        <v>269736</v>
      </c>
      <c r="C55" s="459">
        <v>319182</v>
      </c>
      <c r="D55" s="459">
        <v>49446</v>
      </c>
      <c r="E55" s="459">
        <v>18.3</v>
      </c>
      <c r="F55" s="459">
        <v>35394</v>
      </c>
      <c r="G55" s="459">
        <v>26151</v>
      </c>
      <c r="H55" s="459">
        <v>9243</v>
      </c>
      <c r="I55" s="459">
        <v>40203</v>
      </c>
    </row>
    <row r="56" spans="1:9" ht="16.149999999999999" customHeight="1">
      <c r="A56" s="458" t="s">
        <v>594</v>
      </c>
      <c r="B56" s="459">
        <v>10195</v>
      </c>
      <c r="C56" s="459">
        <v>10196</v>
      </c>
      <c r="D56" s="459">
        <v>1</v>
      </c>
      <c r="E56" s="459">
        <v>0</v>
      </c>
      <c r="F56" s="459">
        <v>848</v>
      </c>
      <c r="G56" s="459">
        <v>1403</v>
      </c>
      <c r="H56" s="459">
        <v>-555</v>
      </c>
      <c r="I56" s="459">
        <v>556</v>
      </c>
    </row>
    <row r="57" spans="1:9" ht="16.149999999999999" customHeight="1">
      <c r="A57" s="458" t="s">
        <v>595</v>
      </c>
      <c r="B57" s="459">
        <v>68325</v>
      </c>
      <c r="C57" s="459">
        <v>73633</v>
      </c>
      <c r="D57" s="459">
        <v>5308</v>
      </c>
      <c r="E57" s="459">
        <v>7.8</v>
      </c>
      <c r="F57" s="459">
        <v>8954</v>
      </c>
      <c r="G57" s="459">
        <v>7332</v>
      </c>
      <c r="H57" s="459">
        <v>1622</v>
      </c>
      <c r="I57" s="459">
        <v>3686</v>
      </c>
    </row>
    <row r="58" spans="1:9" ht="16.149999999999999" customHeight="1">
      <c r="A58" s="458" t="s">
        <v>596</v>
      </c>
      <c r="B58" s="459">
        <v>51883</v>
      </c>
      <c r="C58" s="459">
        <v>48213</v>
      </c>
      <c r="D58" s="459">
        <v>-3670</v>
      </c>
      <c r="E58" s="459">
        <v>-7.1</v>
      </c>
      <c r="F58" s="459">
        <v>5409</v>
      </c>
      <c r="G58" s="459">
        <v>6981</v>
      </c>
      <c r="H58" s="459">
        <v>-1572</v>
      </c>
      <c r="I58" s="459">
        <v>-2098</v>
      </c>
    </row>
    <row r="59" spans="1:9" ht="16.149999999999999" customHeight="1">
      <c r="A59" s="458" t="s">
        <v>597</v>
      </c>
      <c r="B59" s="459">
        <v>99743</v>
      </c>
      <c r="C59" s="459">
        <v>110290</v>
      </c>
      <c r="D59" s="459">
        <v>10547</v>
      </c>
      <c r="E59" s="459">
        <v>10.6</v>
      </c>
      <c r="F59" s="459">
        <v>9372</v>
      </c>
      <c r="G59" s="459">
        <v>12685</v>
      </c>
      <c r="H59" s="459">
        <v>-3313</v>
      </c>
      <c r="I59" s="459">
        <v>13860</v>
      </c>
    </row>
    <row r="60" spans="1:9" ht="16.149999999999999" customHeight="1">
      <c r="A60" s="458" t="s">
        <v>598</v>
      </c>
      <c r="B60" s="459">
        <v>40862</v>
      </c>
      <c r="C60" s="459">
        <v>44434</v>
      </c>
      <c r="D60" s="459">
        <v>3572</v>
      </c>
      <c r="E60" s="459">
        <v>8.6999999999999993</v>
      </c>
      <c r="F60" s="459">
        <v>4089</v>
      </c>
      <c r="G60" s="459">
        <v>6021</v>
      </c>
      <c r="H60" s="459">
        <v>-1932</v>
      </c>
      <c r="I60" s="459">
        <v>5504</v>
      </c>
    </row>
    <row r="61" spans="1:9" ht="16.149999999999999" customHeight="1">
      <c r="A61" s="458" t="s">
        <v>599</v>
      </c>
      <c r="B61" s="459">
        <v>25251</v>
      </c>
      <c r="C61" s="459">
        <v>27420</v>
      </c>
      <c r="D61" s="459">
        <v>2169</v>
      </c>
      <c r="E61" s="459">
        <v>8.6</v>
      </c>
      <c r="F61" s="459">
        <v>2140</v>
      </c>
      <c r="G61" s="459">
        <v>3452</v>
      </c>
      <c r="H61" s="459">
        <v>-1312</v>
      </c>
      <c r="I61" s="459">
        <v>3481</v>
      </c>
    </row>
    <row r="62" spans="1:9" ht="16.149999999999999" customHeight="1">
      <c r="A62" s="458" t="s">
        <v>515</v>
      </c>
      <c r="B62" s="459">
        <v>21914</v>
      </c>
      <c r="C62" s="459">
        <v>20904</v>
      </c>
      <c r="D62" s="459">
        <v>-1010</v>
      </c>
      <c r="E62" s="459">
        <v>-4.5999999999999996</v>
      </c>
      <c r="F62" s="459">
        <v>2253</v>
      </c>
      <c r="G62" s="459">
        <v>3268</v>
      </c>
      <c r="H62" s="459">
        <v>-1015</v>
      </c>
      <c r="I62" s="459">
        <v>5</v>
      </c>
    </row>
    <row r="63" spans="1:9" ht="16.149999999999999" customHeight="1">
      <c r="A63" s="458" t="s">
        <v>600</v>
      </c>
      <c r="B63" s="459">
        <v>49474</v>
      </c>
      <c r="C63" s="459">
        <v>51776</v>
      </c>
      <c r="D63" s="459">
        <v>2302</v>
      </c>
      <c r="E63" s="459">
        <v>4.7</v>
      </c>
      <c r="F63" s="459">
        <v>4668</v>
      </c>
      <c r="G63" s="459">
        <v>6700</v>
      </c>
      <c r="H63" s="459">
        <v>-2032</v>
      </c>
      <c r="I63" s="459">
        <v>4334</v>
      </c>
    </row>
    <row r="64" spans="1:9" ht="16.149999999999999" customHeight="1">
      <c r="A64" s="458" t="s">
        <v>601</v>
      </c>
      <c r="B64" s="459">
        <v>1348822</v>
      </c>
      <c r="C64" s="459">
        <v>1542808</v>
      </c>
      <c r="D64" s="459">
        <v>193986</v>
      </c>
      <c r="E64" s="459">
        <v>14.4</v>
      </c>
      <c r="F64" s="459">
        <v>161028</v>
      </c>
      <c r="G64" s="459">
        <v>105611</v>
      </c>
      <c r="H64" s="459">
        <v>55417</v>
      </c>
      <c r="I64" s="459">
        <v>138569</v>
      </c>
    </row>
    <row r="65" spans="1:9" ht="16.149999999999999" customHeight="1">
      <c r="A65" s="458" t="s">
        <v>602</v>
      </c>
      <c r="B65" s="459">
        <v>15310</v>
      </c>
      <c r="C65" s="459">
        <v>15314</v>
      </c>
      <c r="D65" s="459">
        <v>4</v>
      </c>
      <c r="E65" s="459">
        <v>0</v>
      </c>
      <c r="F65" s="459">
        <v>1346</v>
      </c>
      <c r="G65" s="459">
        <v>2181</v>
      </c>
      <c r="H65" s="459">
        <v>-835</v>
      </c>
      <c r="I65" s="459">
        <v>839</v>
      </c>
    </row>
    <row r="66" spans="1:9" ht="16.149999999999999" customHeight="1">
      <c r="A66" s="458" t="s">
        <v>603</v>
      </c>
      <c r="B66" s="459">
        <v>28158</v>
      </c>
      <c r="C66" s="459">
        <v>28564</v>
      </c>
      <c r="D66" s="459">
        <v>406</v>
      </c>
      <c r="E66" s="459">
        <v>1.4</v>
      </c>
      <c r="F66" s="459">
        <v>3099</v>
      </c>
      <c r="G66" s="459">
        <v>3470</v>
      </c>
      <c r="H66" s="459">
        <v>-371</v>
      </c>
      <c r="I66" s="459">
        <v>777</v>
      </c>
    </row>
    <row r="67" spans="1:9" ht="16.149999999999999" customHeight="1">
      <c r="A67" s="458" t="s">
        <v>604</v>
      </c>
      <c r="B67" s="459">
        <v>119674</v>
      </c>
      <c r="C67" s="459">
        <v>133292</v>
      </c>
      <c r="D67" s="459">
        <v>13618</v>
      </c>
      <c r="E67" s="459">
        <v>11.4</v>
      </c>
      <c r="F67" s="459">
        <v>13800</v>
      </c>
      <c r="G67" s="459">
        <v>15528</v>
      </c>
      <c r="H67" s="459">
        <v>-1728</v>
      </c>
      <c r="I67" s="459">
        <v>15346</v>
      </c>
    </row>
    <row r="68" spans="1:9" ht="16.149999999999999" customHeight="1">
      <c r="A68" s="458" t="s">
        <v>518</v>
      </c>
      <c r="B68" s="459">
        <v>97276</v>
      </c>
      <c r="C68" s="459">
        <v>97580</v>
      </c>
      <c r="D68" s="459">
        <v>304</v>
      </c>
      <c r="E68" s="459">
        <v>0.3</v>
      </c>
      <c r="F68" s="459">
        <v>10047</v>
      </c>
      <c r="G68" s="459">
        <v>12780</v>
      </c>
      <c r="H68" s="459">
        <v>-2733</v>
      </c>
      <c r="I68" s="459">
        <v>3037</v>
      </c>
    </row>
    <row r="69" spans="1:9" ht="16.149999999999999" customHeight="1">
      <c r="A69" s="458" t="s">
        <v>605</v>
      </c>
      <c r="B69" s="459">
        <v>276409</v>
      </c>
      <c r="C69" s="459">
        <v>309830</v>
      </c>
      <c r="D69" s="459">
        <v>33421</v>
      </c>
      <c r="E69" s="459">
        <v>12.1</v>
      </c>
      <c r="F69" s="459">
        <v>26364</v>
      </c>
      <c r="G69" s="459">
        <v>28425</v>
      </c>
      <c r="H69" s="459">
        <v>-2061</v>
      </c>
      <c r="I69" s="459">
        <v>35482</v>
      </c>
    </row>
    <row r="70" spans="1:9" ht="16.149999999999999" customHeight="1">
      <c r="A70" s="458" t="s">
        <v>606</v>
      </c>
      <c r="B70" s="459">
        <v>18379</v>
      </c>
      <c r="C70" s="459">
        <v>16663</v>
      </c>
      <c r="D70" s="459">
        <v>-1716</v>
      </c>
      <c r="E70" s="459">
        <v>-9.3000000000000007</v>
      </c>
      <c r="F70" s="459">
        <v>1484</v>
      </c>
      <c r="G70" s="459">
        <v>2435</v>
      </c>
      <c r="H70" s="459">
        <v>-951</v>
      </c>
      <c r="I70" s="459">
        <v>-765</v>
      </c>
    </row>
    <row r="71" spans="1:9" ht="16.149999999999999" customHeight="1">
      <c r="A71" s="458" t="s">
        <v>607</v>
      </c>
      <c r="B71" s="459">
        <v>229277</v>
      </c>
      <c r="C71" s="459">
        <v>251707</v>
      </c>
      <c r="D71" s="459">
        <v>22430</v>
      </c>
      <c r="E71" s="459">
        <v>9.8000000000000007</v>
      </c>
      <c r="F71" s="459">
        <v>44012</v>
      </c>
      <c r="G71" s="459">
        <v>15035</v>
      </c>
      <c r="H71" s="459">
        <v>28977</v>
      </c>
      <c r="I71" s="459">
        <v>-6547</v>
      </c>
    </row>
    <row r="72" spans="1:9" ht="16.149999999999999" customHeight="1">
      <c r="A72" s="458" t="s">
        <v>608</v>
      </c>
      <c r="B72" s="459">
        <v>163699</v>
      </c>
      <c r="C72" s="459">
        <v>177152</v>
      </c>
      <c r="D72" s="459">
        <v>13453</v>
      </c>
      <c r="E72" s="459">
        <v>8.1999999999999993</v>
      </c>
      <c r="F72" s="459">
        <v>12573</v>
      </c>
      <c r="G72" s="459">
        <v>13434</v>
      </c>
      <c r="H72" s="459">
        <v>-861</v>
      </c>
      <c r="I72" s="459">
        <v>14314</v>
      </c>
    </row>
    <row r="73" spans="1:9" ht="16.149999999999999" customHeight="1">
      <c r="A73" s="458" t="s">
        <v>609</v>
      </c>
      <c r="B73" s="459">
        <v>13452</v>
      </c>
      <c r="C73" s="459">
        <v>13602</v>
      </c>
      <c r="D73" s="459">
        <v>150</v>
      </c>
      <c r="E73" s="459">
        <v>1.1000000000000001</v>
      </c>
      <c r="F73" s="459">
        <v>871</v>
      </c>
      <c r="G73" s="459">
        <v>2166</v>
      </c>
      <c r="H73" s="459">
        <v>-1295</v>
      </c>
      <c r="I73" s="459">
        <v>1445</v>
      </c>
    </row>
    <row r="74" spans="1:9" ht="16.149999999999999" customHeight="1">
      <c r="A74" s="458" t="s">
        <v>531</v>
      </c>
      <c r="B74" s="459">
        <v>39591</v>
      </c>
      <c r="C74" s="459">
        <v>39588</v>
      </c>
      <c r="D74" s="459">
        <v>-3</v>
      </c>
      <c r="E74" s="459">
        <v>0</v>
      </c>
      <c r="F74" s="459">
        <v>4393</v>
      </c>
      <c r="G74" s="459">
        <v>4365</v>
      </c>
      <c r="H74" s="459">
        <v>28</v>
      </c>
      <c r="I74" s="459">
        <v>-31</v>
      </c>
    </row>
    <row r="75" spans="1:9" ht="16.149999999999999" customHeight="1">
      <c r="A75" s="458" t="s">
        <v>610</v>
      </c>
      <c r="B75" s="459">
        <v>76106</v>
      </c>
      <c r="C75" s="459">
        <v>86480</v>
      </c>
      <c r="D75" s="459">
        <v>10374</v>
      </c>
      <c r="E75" s="459">
        <v>13.6</v>
      </c>
      <c r="F75" s="459">
        <v>8190</v>
      </c>
      <c r="G75" s="459">
        <v>8588</v>
      </c>
      <c r="H75" s="459">
        <v>-398</v>
      </c>
      <c r="I75" s="459">
        <v>10772</v>
      </c>
    </row>
    <row r="76" spans="1:9" ht="16.149999999999999" customHeight="1">
      <c r="A76" s="458" t="s">
        <v>527</v>
      </c>
      <c r="B76" s="459">
        <v>13923</v>
      </c>
      <c r="C76" s="459">
        <v>14340</v>
      </c>
      <c r="D76" s="459">
        <v>417</v>
      </c>
      <c r="E76" s="459">
        <v>3</v>
      </c>
      <c r="F76" s="459">
        <v>1166</v>
      </c>
      <c r="G76" s="459">
        <v>2135</v>
      </c>
      <c r="H76" s="459">
        <v>-969</v>
      </c>
      <c r="I76" s="459">
        <v>1386</v>
      </c>
    </row>
    <row r="77" spans="1:9" ht="16.149999999999999" customHeight="1">
      <c r="A77" s="458" t="s">
        <v>611</v>
      </c>
      <c r="B77" s="459">
        <v>41823</v>
      </c>
      <c r="C77" s="459">
        <v>42649</v>
      </c>
      <c r="D77" s="459">
        <v>826</v>
      </c>
      <c r="E77" s="459">
        <v>2</v>
      </c>
      <c r="F77" s="459">
        <v>4229</v>
      </c>
      <c r="G77" s="459">
        <v>5352</v>
      </c>
      <c r="H77" s="459">
        <v>-1123</v>
      </c>
      <c r="I77" s="459">
        <v>1949</v>
      </c>
    </row>
    <row r="78" spans="1:9" ht="16.149999999999999" customHeight="1">
      <c r="A78" s="458" t="s">
        <v>612</v>
      </c>
      <c r="B78" s="459">
        <v>193742</v>
      </c>
      <c r="C78" s="459">
        <v>205201</v>
      </c>
      <c r="D78" s="459">
        <v>11459</v>
      </c>
      <c r="E78" s="459">
        <v>5.9</v>
      </c>
      <c r="F78" s="459">
        <v>21350</v>
      </c>
      <c r="G78" s="459">
        <v>17103</v>
      </c>
      <c r="H78" s="459">
        <v>4247</v>
      </c>
      <c r="I78" s="459">
        <v>7212</v>
      </c>
    </row>
    <row r="79" spans="1:9" ht="16.149999999999999" customHeight="1">
      <c r="A79" s="458" t="s">
        <v>613</v>
      </c>
      <c r="B79" s="459">
        <v>23299</v>
      </c>
      <c r="C79" s="459">
        <v>24420</v>
      </c>
      <c r="D79" s="459">
        <v>1121</v>
      </c>
      <c r="E79" s="459">
        <v>4.8</v>
      </c>
      <c r="F79" s="459">
        <v>1528</v>
      </c>
      <c r="G79" s="459">
        <v>3565</v>
      </c>
      <c r="H79" s="459">
        <v>-2037</v>
      </c>
      <c r="I79" s="459">
        <v>3158</v>
      </c>
    </row>
    <row r="80" spans="1:9" ht="16.149999999999999" customHeight="1">
      <c r="A80" s="458" t="s">
        <v>614</v>
      </c>
      <c r="B80" s="459">
        <v>154739</v>
      </c>
      <c r="C80" s="459">
        <v>162777</v>
      </c>
      <c r="D80" s="459">
        <v>8038</v>
      </c>
      <c r="E80" s="459">
        <v>5.2</v>
      </c>
      <c r="F80" s="459">
        <v>17433</v>
      </c>
      <c r="G80" s="459">
        <v>18572</v>
      </c>
      <c r="H80" s="459">
        <v>-1139</v>
      </c>
      <c r="I80" s="459">
        <v>9177</v>
      </c>
    </row>
    <row r="81" spans="1:9" ht="16.149999999999999" customHeight="1">
      <c r="A81" s="458" t="s">
        <v>615</v>
      </c>
      <c r="B81" s="459">
        <v>44123</v>
      </c>
      <c r="C81" s="459">
        <v>43339</v>
      </c>
      <c r="D81" s="459">
        <v>-784</v>
      </c>
      <c r="E81" s="459">
        <v>-1.8</v>
      </c>
      <c r="F81" s="459">
        <v>4792</v>
      </c>
      <c r="G81" s="459">
        <v>5574</v>
      </c>
      <c r="H81" s="459">
        <v>-782</v>
      </c>
      <c r="I81" s="459">
        <v>-2</v>
      </c>
    </row>
    <row r="82" spans="1:9" ht="16.149999999999999" customHeight="1">
      <c r="A82" s="458" t="s">
        <v>616</v>
      </c>
      <c r="B82" s="459">
        <v>125259</v>
      </c>
      <c r="C82" s="459">
        <v>120516</v>
      </c>
      <c r="D82" s="459">
        <v>-4743</v>
      </c>
      <c r="E82" s="459">
        <v>-3.8</v>
      </c>
      <c r="F82" s="459">
        <v>14400</v>
      </c>
      <c r="G82" s="459">
        <v>14527</v>
      </c>
      <c r="H82" s="459">
        <v>-127</v>
      </c>
      <c r="I82" s="459">
        <v>-4616</v>
      </c>
    </row>
    <row r="83" spans="1:9" ht="16.149999999999999" customHeight="1">
      <c r="A83" s="458" t="s">
        <v>617</v>
      </c>
      <c r="B83" s="459">
        <v>91865</v>
      </c>
      <c r="C83" s="459">
        <v>91864</v>
      </c>
      <c r="D83" s="459">
        <v>-1</v>
      </c>
      <c r="E83" s="459">
        <v>0</v>
      </c>
      <c r="F83" s="459">
        <v>8429</v>
      </c>
      <c r="G83" s="459">
        <v>12313</v>
      </c>
      <c r="H83" s="459">
        <v>-3884</v>
      </c>
      <c r="I83" s="459">
        <v>3883</v>
      </c>
    </row>
    <row r="84" spans="1:9" ht="16.149999999999999" customHeight="1">
      <c r="A84" s="458" t="s">
        <v>618</v>
      </c>
      <c r="B84" s="459">
        <v>149784</v>
      </c>
      <c r="C84" s="459">
        <v>156118</v>
      </c>
      <c r="D84" s="459">
        <v>6334</v>
      </c>
      <c r="E84" s="459">
        <v>4.2</v>
      </c>
      <c r="F84" s="459">
        <v>16066</v>
      </c>
      <c r="G84" s="459">
        <v>18889</v>
      </c>
      <c r="H84" s="459">
        <v>-2823</v>
      </c>
      <c r="I84" s="459">
        <v>9157</v>
      </c>
    </row>
    <row r="85" spans="1:9" ht="16.149999999999999" customHeight="1">
      <c r="A85" s="458" t="s">
        <v>619</v>
      </c>
      <c r="B85" s="459">
        <v>72379</v>
      </c>
      <c r="C85" s="459">
        <v>75326</v>
      </c>
      <c r="D85" s="459">
        <v>2947</v>
      </c>
      <c r="E85" s="459">
        <v>4.0999999999999996</v>
      </c>
      <c r="F85" s="459">
        <v>6458</v>
      </c>
      <c r="G85" s="459">
        <v>10197</v>
      </c>
      <c r="H85" s="459">
        <v>-3739</v>
      </c>
      <c r="I85" s="459">
        <v>6686</v>
      </c>
    </row>
    <row r="86" spans="1:9" ht="16.149999999999999" customHeight="1">
      <c r="A86" s="458" t="s">
        <v>620</v>
      </c>
      <c r="B86" s="459">
        <v>65308</v>
      </c>
      <c r="C86" s="459">
        <v>65502</v>
      </c>
      <c r="D86" s="459">
        <v>194</v>
      </c>
      <c r="E86" s="459">
        <v>0.3</v>
      </c>
      <c r="F86" s="459">
        <v>8712</v>
      </c>
      <c r="G86" s="459">
        <v>7562</v>
      </c>
      <c r="H86" s="459">
        <v>1150</v>
      </c>
      <c r="I86" s="459">
        <v>-956</v>
      </c>
    </row>
    <row r="87" spans="1:9" ht="16.149999999999999" customHeight="1">
      <c r="A87" s="458" t="s">
        <v>621</v>
      </c>
      <c r="B87" s="459">
        <v>35370</v>
      </c>
      <c r="C87" s="459">
        <v>35079</v>
      </c>
      <c r="D87" s="459">
        <v>-291</v>
      </c>
      <c r="E87" s="459">
        <v>-0.8</v>
      </c>
      <c r="F87" s="459">
        <v>4009</v>
      </c>
      <c r="G87" s="459">
        <v>4324</v>
      </c>
      <c r="H87" s="459">
        <v>-315</v>
      </c>
      <c r="I87" s="459">
        <v>24</v>
      </c>
    </row>
    <row r="88" spans="1:9" ht="16.149999999999999" customHeight="1">
      <c r="A88" s="458" t="s">
        <v>622</v>
      </c>
      <c r="B88" s="459">
        <v>69309</v>
      </c>
      <c r="C88" s="459">
        <v>73874</v>
      </c>
      <c r="D88" s="459">
        <v>4565</v>
      </c>
      <c r="E88" s="459">
        <v>6.6</v>
      </c>
      <c r="F88" s="459">
        <v>6785</v>
      </c>
      <c r="G88" s="459">
        <v>9211</v>
      </c>
      <c r="H88" s="459">
        <v>-2426</v>
      </c>
      <c r="I88" s="459">
        <v>6991</v>
      </c>
    </row>
    <row r="89" spans="1:9" ht="16.149999999999999" customHeight="1">
      <c r="A89" s="458" t="s">
        <v>623</v>
      </c>
      <c r="B89" s="459">
        <v>46062</v>
      </c>
      <c r="C89" s="459">
        <v>45988</v>
      </c>
      <c r="D89" s="459">
        <v>-74</v>
      </c>
      <c r="E89" s="459">
        <v>-0.2</v>
      </c>
      <c r="F89" s="459">
        <v>3590</v>
      </c>
      <c r="G89" s="459">
        <v>6575</v>
      </c>
      <c r="H89" s="459">
        <v>-2985</v>
      </c>
      <c r="I89" s="459">
        <v>2911</v>
      </c>
    </row>
    <row r="90" spans="1:9" ht="16.149999999999999" customHeight="1">
      <c r="A90" s="458" t="s">
        <v>624</v>
      </c>
      <c r="B90" s="459">
        <v>73231</v>
      </c>
      <c r="C90" s="459">
        <v>73231</v>
      </c>
      <c r="D90" s="459">
        <v>0</v>
      </c>
      <c r="E90" s="459">
        <v>0</v>
      </c>
      <c r="F90" s="459">
        <v>7738</v>
      </c>
      <c r="G90" s="459">
        <v>9474</v>
      </c>
      <c r="H90" s="459">
        <v>-1736</v>
      </c>
      <c r="I90" s="459">
        <v>1736</v>
      </c>
    </row>
    <row r="91" spans="1:9" ht="16.149999999999999" customHeight="1">
      <c r="A91" s="458" t="s">
        <v>625</v>
      </c>
      <c r="B91" s="459">
        <v>13388</v>
      </c>
      <c r="C91" s="459">
        <v>13264</v>
      </c>
      <c r="D91" s="459">
        <v>-124</v>
      </c>
      <c r="E91" s="459">
        <v>-0.9</v>
      </c>
      <c r="F91" s="459">
        <v>1397</v>
      </c>
      <c r="G91" s="459">
        <v>1792</v>
      </c>
      <c r="H91" s="459">
        <v>-395</v>
      </c>
      <c r="I91" s="459">
        <v>271</v>
      </c>
    </row>
    <row r="92" spans="1:9" ht="16.149999999999999" customHeight="1">
      <c r="A92" s="458" t="s">
        <v>626</v>
      </c>
      <c r="B92" s="459">
        <v>38768</v>
      </c>
      <c r="C92" s="459">
        <v>41434</v>
      </c>
      <c r="D92" s="459">
        <v>2666</v>
      </c>
      <c r="E92" s="459">
        <v>6.9</v>
      </c>
      <c r="F92" s="459">
        <v>2916</v>
      </c>
      <c r="G92" s="459">
        <v>5912</v>
      </c>
      <c r="H92" s="459">
        <v>-2996</v>
      </c>
      <c r="I92" s="459">
        <v>5662</v>
      </c>
    </row>
    <row r="93" spans="1:9" ht="16.149999999999999" customHeight="1">
      <c r="A93" s="458" t="s">
        <v>519</v>
      </c>
      <c r="B93" s="459">
        <v>4259</v>
      </c>
      <c r="C93" s="459">
        <v>4261</v>
      </c>
      <c r="D93" s="459">
        <v>2</v>
      </c>
      <c r="E93" s="459">
        <v>0</v>
      </c>
      <c r="F93" s="459">
        <v>474</v>
      </c>
      <c r="G93" s="459">
        <v>498</v>
      </c>
      <c r="H93" s="459">
        <v>-24</v>
      </c>
      <c r="I93" s="459">
        <v>26</v>
      </c>
    </row>
    <row r="94" spans="1:9" ht="16.149999999999999" customHeight="1">
      <c r="A94" s="458" t="s">
        <v>627</v>
      </c>
      <c r="B94" s="459">
        <v>302410</v>
      </c>
      <c r="C94" s="459">
        <v>355872</v>
      </c>
      <c r="D94" s="459">
        <v>53462</v>
      </c>
      <c r="E94" s="459">
        <v>17.7</v>
      </c>
      <c r="F94" s="459">
        <v>38149</v>
      </c>
      <c r="G94" s="459">
        <v>26886</v>
      </c>
      <c r="H94" s="459">
        <v>11263</v>
      </c>
      <c r="I94" s="459">
        <v>42199</v>
      </c>
    </row>
    <row r="95" spans="1:9" ht="16.149999999999999" customHeight="1">
      <c r="A95" s="458" t="s">
        <v>628</v>
      </c>
      <c r="B95" s="459">
        <v>46944</v>
      </c>
      <c r="C95" s="459">
        <v>47099</v>
      </c>
      <c r="D95" s="459">
        <v>155</v>
      </c>
      <c r="E95" s="459">
        <v>0.3</v>
      </c>
      <c r="F95" s="459">
        <v>5442</v>
      </c>
      <c r="G95" s="459">
        <v>5699</v>
      </c>
      <c r="H95" s="459">
        <v>-257</v>
      </c>
      <c r="I95" s="459">
        <v>412</v>
      </c>
    </row>
    <row r="96" spans="1:9" ht="16.149999999999999" customHeight="1">
      <c r="A96" s="458" t="s">
        <v>514</v>
      </c>
      <c r="B96" s="459">
        <v>1328336</v>
      </c>
      <c r="C96" s="459">
        <v>1528450</v>
      </c>
      <c r="D96" s="459">
        <v>200114</v>
      </c>
      <c r="E96" s="459">
        <v>15.1</v>
      </c>
      <c r="F96" s="459">
        <v>151620</v>
      </c>
      <c r="G96" s="459">
        <v>103487</v>
      </c>
      <c r="H96" s="459">
        <v>48133</v>
      </c>
      <c r="I96" s="459">
        <v>151981</v>
      </c>
    </row>
    <row r="97" spans="1:9" ht="16.149999999999999" customHeight="1">
      <c r="A97" s="458" t="s">
        <v>629</v>
      </c>
      <c r="B97" s="459">
        <v>18885</v>
      </c>
      <c r="C97" s="459">
        <v>18247</v>
      </c>
      <c r="D97" s="459">
        <v>-638</v>
      </c>
      <c r="E97" s="459">
        <v>-3.4</v>
      </c>
      <c r="F97" s="459">
        <v>1441</v>
      </c>
      <c r="G97" s="459">
        <v>2647</v>
      </c>
      <c r="H97" s="459">
        <v>-1206</v>
      </c>
      <c r="I97" s="459">
        <v>568</v>
      </c>
    </row>
    <row r="98" spans="1:9" ht="16.149999999999999" customHeight="1">
      <c r="A98" s="458" t="s">
        <v>517</v>
      </c>
      <c r="B98" s="459">
        <v>11159</v>
      </c>
      <c r="C98" s="459">
        <v>10412</v>
      </c>
      <c r="D98" s="459">
        <v>-747</v>
      </c>
      <c r="E98" s="459">
        <v>-6.7</v>
      </c>
      <c r="F98" s="459">
        <v>1106</v>
      </c>
      <c r="G98" s="459">
        <v>1607</v>
      </c>
      <c r="H98" s="459">
        <v>-501</v>
      </c>
      <c r="I98" s="459">
        <v>-246</v>
      </c>
    </row>
    <row r="99" spans="1:9" ht="16.149999999999999" customHeight="1">
      <c r="A99" s="458" t="s">
        <v>630</v>
      </c>
      <c r="B99" s="459">
        <v>67043</v>
      </c>
      <c r="C99" s="459">
        <v>74525</v>
      </c>
      <c r="D99" s="459">
        <v>7482</v>
      </c>
      <c r="E99" s="459">
        <v>11.2</v>
      </c>
      <c r="F99" s="459">
        <v>5100</v>
      </c>
      <c r="G99" s="459">
        <v>5236</v>
      </c>
      <c r="H99" s="459">
        <v>-136</v>
      </c>
      <c r="I99" s="459">
        <v>7618</v>
      </c>
    </row>
    <row r="100" spans="1:9" ht="16.149999999999999" customHeight="1">
      <c r="A100" s="458" t="s">
        <v>631</v>
      </c>
      <c r="B100" s="459">
        <v>134419</v>
      </c>
      <c r="C100" s="459">
        <v>141448</v>
      </c>
      <c r="D100" s="459">
        <v>7029</v>
      </c>
      <c r="E100" s="459">
        <v>5.2</v>
      </c>
      <c r="F100" s="459">
        <v>16148</v>
      </c>
      <c r="G100" s="459">
        <v>14310</v>
      </c>
      <c r="H100" s="459">
        <v>1838</v>
      </c>
      <c r="I100" s="459">
        <v>5191</v>
      </c>
    </row>
    <row r="101" spans="1:9" ht="16.149999999999999" customHeight="1">
      <c r="A101" s="458" t="s">
        <v>632</v>
      </c>
      <c r="B101" s="459">
        <v>73377</v>
      </c>
      <c r="C101" s="459">
        <v>75974</v>
      </c>
      <c r="D101" s="459">
        <v>2597</v>
      </c>
      <c r="E101" s="459">
        <v>3.5</v>
      </c>
      <c r="F101" s="459">
        <v>7015</v>
      </c>
      <c r="G101" s="459">
        <v>10100</v>
      </c>
      <c r="H101" s="459">
        <v>-3085</v>
      </c>
      <c r="I101" s="459">
        <v>5682</v>
      </c>
    </row>
    <row r="102" spans="1:9" ht="16.149999999999999" customHeight="1">
      <c r="A102" s="458" t="s">
        <v>633</v>
      </c>
      <c r="B102" s="459">
        <v>87939</v>
      </c>
      <c r="C102" s="459">
        <v>93148</v>
      </c>
      <c r="D102" s="459">
        <v>5209</v>
      </c>
      <c r="E102" s="459">
        <v>5.9</v>
      </c>
      <c r="F102" s="459">
        <v>9460</v>
      </c>
      <c r="G102" s="459">
        <v>10744</v>
      </c>
      <c r="H102" s="459">
        <v>-1284</v>
      </c>
      <c r="I102" s="459">
        <v>6493</v>
      </c>
    </row>
    <row r="103" spans="1:9" ht="16.149999999999999" customHeight="1">
      <c r="A103" s="458" t="s">
        <v>634</v>
      </c>
      <c r="B103" s="459">
        <v>38392</v>
      </c>
      <c r="C103" s="459">
        <v>38410</v>
      </c>
      <c r="D103" s="459">
        <v>18</v>
      </c>
      <c r="E103" s="459">
        <v>0</v>
      </c>
      <c r="F103" s="459">
        <v>3776</v>
      </c>
      <c r="G103" s="459">
        <v>5036</v>
      </c>
      <c r="H103" s="459">
        <v>-1260</v>
      </c>
      <c r="I103" s="459">
        <v>1278</v>
      </c>
    </row>
    <row r="104" spans="1:9" ht="16.149999999999999" customHeight="1">
      <c r="A104" s="458" t="s">
        <v>635</v>
      </c>
      <c r="B104" s="459">
        <v>20488</v>
      </c>
      <c r="C104" s="459">
        <v>22013</v>
      </c>
      <c r="D104" s="459">
        <v>1525</v>
      </c>
      <c r="E104" s="459">
        <v>7.4</v>
      </c>
      <c r="F104" s="459">
        <v>1893</v>
      </c>
      <c r="G104" s="459">
        <v>2782</v>
      </c>
      <c r="H104" s="459">
        <v>-889</v>
      </c>
      <c r="I104" s="459">
        <v>2414</v>
      </c>
    </row>
    <row r="105" spans="1:9" ht="16.149999999999999" customHeight="1" thickBot="1">
      <c r="A105" s="458" t="s">
        <v>636</v>
      </c>
      <c r="B105" s="459">
        <v>11836070</v>
      </c>
      <c r="C105" s="459">
        <v>12919921</v>
      </c>
      <c r="D105" s="459">
        <v>1083851</v>
      </c>
      <c r="E105" s="459">
        <v>9.1999999999999993</v>
      </c>
      <c r="F105" s="459">
        <v>1311374</v>
      </c>
      <c r="G105" s="459">
        <v>1246253</v>
      </c>
      <c r="H105" s="459">
        <v>65121</v>
      </c>
      <c r="I105" s="459">
        <v>1018730</v>
      </c>
    </row>
    <row r="106" spans="1:9" ht="16.149999999999999" customHeight="1">
      <c r="A106" s="702" t="s">
        <v>637</v>
      </c>
      <c r="B106" s="702"/>
      <c r="C106" s="702"/>
      <c r="D106" s="702"/>
      <c r="E106" s="702"/>
      <c r="F106" s="702"/>
      <c r="G106" s="702"/>
      <c r="H106" s="702"/>
      <c r="I106" s="702"/>
    </row>
  </sheetData>
  <mergeCells count="5">
    <mergeCell ref="A1:I1"/>
    <mergeCell ref="B3:C3"/>
    <mergeCell ref="D3:E3"/>
    <mergeCell ref="F3:I3"/>
    <mergeCell ref="A106:I106"/>
  </mergeCells>
  <pageMargins left="0.08" right="0.08" top="1" bottom="1" header="0.5" footer="0.5"/>
  <pageSetup orientation="portrait" horizontalDpi="300" verticalDpi="300"/>
  <headerFooter>
    <oddFooter>Return to Top_x000D_Last updated  November 15, 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6" tint="-0.249977111117893"/>
  </sheetPr>
  <dimension ref="A1:AJ71"/>
  <sheetViews>
    <sheetView workbookViewId="0"/>
  </sheetViews>
  <sheetFormatPr defaultRowHeight="15"/>
  <cols>
    <col min="2" max="2" width="22.5703125" customWidth="1"/>
    <col min="3" max="3" width="11.85546875" customWidth="1"/>
    <col min="4" max="4" width="13.85546875" customWidth="1"/>
    <col min="5" max="5" width="13.5703125" style="64" customWidth="1"/>
    <col min="6" max="6" width="11" style="64" customWidth="1"/>
    <col min="7" max="7" width="18.5703125" customWidth="1"/>
    <col min="8" max="8" width="15" customWidth="1"/>
    <col min="9" max="9" width="15" style="64" customWidth="1"/>
    <col min="10" max="10" width="14.28515625" customWidth="1"/>
    <col min="11" max="11" width="15.85546875" customWidth="1"/>
    <col min="12" max="12" width="15.85546875" style="64" customWidth="1"/>
    <col min="13" max="13" width="17.42578125" customWidth="1"/>
    <col min="15" max="15" width="20.42578125" customWidth="1"/>
    <col min="16" max="19" width="18.7109375" customWidth="1"/>
    <col min="20" max="20" width="14.28515625" customWidth="1"/>
    <col min="21" max="21" width="15" customWidth="1"/>
    <col min="22" max="22" width="29.140625" customWidth="1"/>
    <col min="23" max="36" width="18.7109375" customWidth="1"/>
  </cols>
  <sheetData>
    <row r="1" spans="1:12">
      <c r="A1" s="205"/>
    </row>
    <row r="2" spans="1:12">
      <c r="B2" s="16" t="s">
        <v>170</v>
      </c>
      <c r="L2"/>
    </row>
    <row r="3" spans="1:12" s="64" customFormat="1">
      <c r="B3" s="16"/>
    </row>
    <row r="4" spans="1:12" s="64" customFormat="1">
      <c r="C4" s="64" t="s">
        <v>299</v>
      </c>
    </row>
    <row r="5" spans="1:12" s="64" customFormat="1" ht="60">
      <c r="B5" s="129" t="s">
        <v>273</v>
      </c>
      <c r="C5" s="129" t="s">
        <v>274</v>
      </c>
      <c r="D5" s="241" t="s">
        <v>476</v>
      </c>
      <c r="E5" s="241" t="s">
        <v>480</v>
      </c>
      <c r="F5" s="241" t="s">
        <v>477</v>
      </c>
      <c r="G5" s="241" t="s">
        <v>478</v>
      </c>
      <c r="H5" s="241" t="s">
        <v>480</v>
      </c>
      <c r="I5" s="129" t="s">
        <v>479</v>
      </c>
    </row>
    <row r="6" spans="1:12" s="64" customFormat="1">
      <c r="B6" s="130" t="s">
        <v>266</v>
      </c>
      <c r="C6" s="131">
        <f>Inputs!B84</f>
        <v>3200</v>
      </c>
      <c r="D6" s="242">
        <v>87</v>
      </c>
      <c r="E6" s="243">
        <f t="shared" ref="E6:E12" si="0">D6*C6</f>
        <v>278400</v>
      </c>
      <c r="F6" s="422">
        <v>28.1</v>
      </c>
      <c r="G6" s="242">
        <f>D6-F6</f>
        <v>58.9</v>
      </c>
      <c r="H6" s="243">
        <f t="shared" ref="H6:H12" si="1">G6*C6</f>
        <v>188480</v>
      </c>
      <c r="I6" s="131">
        <f>E6-H6</f>
        <v>89920</v>
      </c>
    </row>
    <row r="7" spans="1:12" s="64" customFormat="1">
      <c r="B7" s="130" t="s">
        <v>267</v>
      </c>
      <c r="C7" s="131">
        <f>Inputs!B85</f>
        <v>63900</v>
      </c>
      <c r="D7" s="242">
        <v>23</v>
      </c>
      <c r="E7" s="243">
        <f t="shared" si="0"/>
        <v>1469700</v>
      </c>
      <c r="F7" s="422">
        <v>7.3000000000000007</v>
      </c>
      <c r="G7" s="242">
        <f t="shared" ref="G7:G12" si="2">D7-F7</f>
        <v>15.7</v>
      </c>
      <c r="H7" s="243">
        <f t="shared" si="1"/>
        <v>1003230</v>
      </c>
      <c r="I7" s="131">
        <f t="shared" ref="I7:I12" si="3">E7-H7</f>
        <v>466470</v>
      </c>
    </row>
    <row r="8" spans="1:12" s="64" customFormat="1">
      <c r="B8" s="130" t="s">
        <v>268</v>
      </c>
      <c r="C8" s="131">
        <f>Inputs!B86</f>
        <v>125000</v>
      </c>
      <c r="D8" s="242">
        <v>16</v>
      </c>
      <c r="E8" s="243">
        <f t="shared" si="0"/>
        <v>2000000</v>
      </c>
      <c r="F8" s="422">
        <v>5.6</v>
      </c>
      <c r="G8" s="242">
        <f t="shared" si="2"/>
        <v>10.4</v>
      </c>
      <c r="H8" s="243">
        <f t="shared" si="1"/>
        <v>1300000</v>
      </c>
      <c r="I8" s="131">
        <f t="shared" si="3"/>
        <v>700000</v>
      </c>
    </row>
    <row r="9" spans="1:12" s="64" customFormat="1">
      <c r="B9" s="130" t="s">
        <v>269</v>
      </c>
      <c r="C9" s="131">
        <f>Inputs!B87</f>
        <v>459100</v>
      </c>
      <c r="D9" s="242">
        <v>9</v>
      </c>
      <c r="E9" s="243">
        <f t="shared" si="0"/>
        <v>4131900</v>
      </c>
      <c r="F9" s="422">
        <v>3.0999999999999996</v>
      </c>
      <c r="G9" s="242">
        <f t="shared" si="2"/>
        <v>5.9</v>
      </c>
      <c r="H9" s="243">
        <f t="shared" si="1"/>
        <v>2708690</v>
      </c>
      <c r="I9" s="131">
        <f t="shared" si="3"/>
        <v>1423210</v>
      </c>
    </row>
    <row r="10" spans="1:12" s="64" customFormat="1">
      <c r="B10" s="130" t="s">
        <v>270</v>
      </c>
      <c r="C10" s="131">
        <f>Inputs!B88</f>
        <v>9600000</v>
      </c>
      <c r="D10" s="242">
        <v>0</v>
      </c>
      <c r="E10" s="243">
        <f t="shared" si="0"/>
        <v>0</v>
      </c>
      <c r="F10" s="422">
        <v>0</v>
      </c>
      <c r="G10" s="242">
        <f t="shared" si="2"/>
        <v>0</v>
      </c>
      <c r="H10" s="243">
        <f t="shared" si="1"/>
        <v>0</v>
      </c>
      <c r="I10" s="131">
        <f t="shared" si="3"/>
        <v>0</v>
      </c>
    </row>
    <row r="11" spans="1:12" s="64" customFormat="1" ht="30">
      <c r="B11" s="130" t="s">
        <v>271</v>
      </c>
      <c r="C11" s="131">
        <f>Inputs!B89</f>
        <v>174000</v>
      </c>
      <c r="D11" s="242">
        <v>2</v>
      </c>
      <c r="E11" s="243">
        <f t="shared" si="0"/>
        <v>348000</v>
      </c>
      <c r="F11" s="422">
        <v>0.7</v>
      </c>
      <c r="G11" s="242">
        <f t="shared" si="2"/>
        <v>1.3</v>
      </c>
      <c r="H11" s="243">
        <f t="shared" si="1"/>
        <v>226200</v>
      </c>
      <c r="I11" s="131">
        <f t="shared" si="3"/>
        <v>121800</v>
      </c>
    </row>
    <row r="12" spans="1:12" s="64" customFormat="1" ht="30">
      <c r="B12" s="130" t="s">
        <v>272</v>
      </c>
      <c r="C12" s="131">
        <f>Inputs!B90</f>
        <v>132200</v>
      </c>
      <c r="D12" s="242">
        <v>0</v>
      </c>
      <c r="E12" s="243">
        <f t="shared" si="0"/>
        <v>0</v>
      </c>
      <c r="F12" s="422">
        <v>0</v>
      </c>
      <c r="G12" s="242">
        <f t="shared" si="2"/>
        <v>0</v>
      </c>
      <c r="H12" s="243">
        <f t="shared" si="1"/>
        <v>0</v>
      </c>
      <c r="I12" s="131">
        <f t="shared" si="3"/>
        <v>0</v>
      </c>
    </row>
    <row r="13" spans="1:12" s="64" customFormat="1">
      <c r="B13" s="244" t="s">
        <v>39</v>
      </c>
      <c r="C13" s="245"/>
      <c r="D13" s="247">
        <f t="shared" ref="D13:E13" si="4">SUM(D6:D12)</f>
        <v>137</v>
      </c>
      <c r="E13" s="246">
        <f t="shared" si="4"/>
        <v>8228000</v>
      </c>
      <c r="F13" s="247">
        <f t="shared" ref="F13" si="5">SUM(F6:F12)</f>
        <v>44.800000000000011</v>
      </c>
      <c r="G13" s="247">
        <f t="shared" ref="G13" si="6">SUM(G6:G12)</f>
        <v>92.2</v>
      </c>
      <c r="H13" s="246">
        <f>SUM(H6:H12)</f>
        <v>5426600</v>
      </c>
      <c r="I13" s="246">
        <f>SUM(I6:I12)</f>
        <v>2801400</v>
      </c>
    </row>
    <row r="14" spans="1:12" s="64" customFormat="1">
      <c r="B14" s="16"/>
    </row>
    <row r="15" spans="1:12">
      <c r="F15"/>
      <c r="H15" s="64"/>
      <c r="I15"/>
      <c r="L15"/>
    </row>
    <row r="16" spans="1:12">
      <c r="B16" t="s">
        <v>4</v>
      </c>
      <c r="C16">
        <f>Inputs!B10</f>
        <v>2020</v>
      </c>
      <c r="L16"/>
    </row>
    <row r="19" spans="1:36"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</row>
    <row r="20" spans="1:36" s="64" customFormat="1"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ht="15.75" thickBot="1">
      <c r="C21" s="67"/>
      <c r="D21" s="67"/>
      <c r="E21" s="84">
        <f>Inputs!B3</f>
        <v>7.0000000000000007E-2</v>
      </c>
      <c r="F21" s="84">
        <f>Inputs!B4</f>
        <v>0.03</v>
      </c>
      <c r="G21" s="67"/>
      <c r="I21" s="84"/>
    </row>
    <row r="22" spans="1:36" ht="60">
      <c r="A22" s="75" t="s">
        <v>147</v>
      </c>
      <c r="B22" s="75" t="s">
        <v>0</v>
      </c>
      <c r="C22" s="82" t="s">
        <v>481</v>
      </c>
      <c r="D22" s="250" t="s">
        <v>484</v>
      </c>
      <c r="E22" s="132" t="s">
        <v>482</v>
      </c>
      <c r="F22" s="83" t="s">
        <v>171</v>
      </c>
      <c r="G22" s="83" t="s">
        <v>172</v>
      </c>
      <c r="L22"/>
    </row>
    <row r="23" spans="1:36">
      <c r="A23" s="64">
        <f>IF((B23&gt;(Inputs!$B$7+Inputs!$B$8)),0,IF((B23&lt;Inputs!$B$7),0,((B23-Inputs!$B$7))))</f>
        <v>0</v>
      </c>
      <c r="B23" s="7">
        <v>2018</v>
      </c>
      <c r="C23" s="17"/>
      <c r="D23" s="17"/>
      <c r="E23"/>
      <c r="F23"/>
      <c r="L23"/>
    </row>
    <row r="24" spans="1:36">
      <c r="A24" s="64">
        <f>IF((B24&gt;(Inputs!$B$7+Inputs!$B$8)),0,IF((B24&lt;Inputs!$B$7),0,((B24-Inputs!$B$7))))</f>
        <v>0</v>
      </c>
      <c r="B24" s="7">
        <f>B23+1</f>
        <v>2019</v>
      </c>
      <c r="C24" s="249">
        <f>Traffic_related_data!F46</f>
        <v>1</v>
      </c>
      <c r="D24" s="249">
        <f>IF((A24&gt;0),($F$13*C24),0)</f>
        <v>0</v>
      </c>
      <c r="E24" s="133">
        <f>IF((A24&gt;0),(C24*$I$13),0)</f>
        <v>0</v>
      </c>
      <c r="F24" s="133">
        <f>ROUND(E24/((1+E$21)^($B24-$C$16)),0)</f>
        <v>0</v>
      </c>
      <c r="G24" s="133">
        <f t="shared" ref="G24:G65" si="7">ROUND(E24/((1+F$21)^($B24-$C$16)),0)</f>
        <v>0</v>
      </c>
      <c r="L24"/>
    </row>
    <row r="25" spans="1:36">
      <c r="A25" s="64">
        <f>IF((B25&gt;(Inputs!$B$7+Inputs!$B$8)),0,IF((B25&lt;Inputs!$B$7),0,((B25-Inputs!$B$7))))</f>
        <v>0</v>
      </c>
      <c r="B25" s="7">
        <f t="shared" ref="B25:B65" si="8">B24+1</f>
        <v>2020</v>
      </c>
      <c r="C25" s="249">
        <f>Traffic_related_data!F47</f>
        <v>1.0116818611492109</v>
      </c>
      <c r="D25" s="249">
        <f t="shared" ref="D25:D65" si="9">IF((A25&gt;0),($F$13*C25),0)</f>
        <v>0</v>
      </c>
      <c r="E25" s="133">
        <f t="shared" ref="E25:E65" si="10">IF((A25&gt;0),(C25*$I$13),0)</f>
        <v>0</v>
      </c>
      <c r="F25" s="133">
        <f t="shared" ref="F25:F65" si="11">ROUND(E25/((1+E$21)^($B25-$C$16)),0)</f>
        <v>0</v>
      </c>
      <c r="G25" s="133">
        <f t="shared" si="7"/>
        <v>0</v>
      </c>
      <c r="L25"/>
    </row>
    <row r="26" spans="1:36">
      <c r="A26" s="64">
        <f>IF((B26&gt;(Inputs!$B$7+Inputs!$B$8)),0,IF((B26&lt;Inputs!$B$7),0,((B26-Inputs!$B$7))))</f>
        <v>0</v>
      </c>
      <c r="B26" s="7">
        <f t="shared" si="8"/>
        <v>2021</v>
      </c>
      <c r="C26" s="249">
        <f>Traffic_related_data!F48</f>
        <v>1.0235001881783312</v>
      </c>
      <c r="D26" s="249">
        <f t="shared" si="9"/>
        <v>0</v>
      </c>
      <c r="E26" s="133">
        <f t="shared" si="10"/>
        <v>0</v>
      </c>
      <c r="F26" s="133">
        <f t="shared" si="11"/>
        <v>0</v>
      </c>
      <c r="G26" s="133">
        <f t="shared" si="7"/>
        <v>0</v>
      </c>
      <c r="L26"/>
    </row>
    <row r="27" spans="1:36">
      <c r="A27" s="64">
        <f>IF((B27&gt;(Inputs!$B$7+Inputs!$B$8)),0,IF((B27&lt;Inputs!$B$7),0,((B27-Inputs!$B$7))))</f>
        <v>0</v>
      </c>
      <c r="B27" s="7">
        <f t="shared" si="8"/>
        <v>2022</v>
      </c>
      <c r="C27" s="249">
        <f>Traffic_related_data!F49</f>
        <v>1.0354565752628218</v>
      </c>
      <c r="D27" s="249">
        <f t="shared" si="9"/>
        <v>0</v>
      </c>
      <c r="E27" s="133">
        <f t="shared" si="10"/>
        <v>0</v>
      </c>
      <c r="F27" s="133">
        <f t="shared" si="11"/>
        <v>0</v>
      </c>
      <c r="G27" s="133">
        <f t="shared" si="7"/>
        <v>0</v>
      </c>
      <c r="L27"/>
    </row>
    <row r="28" spans="1:36">
      <c r="A28" s="64">
        <f>IF((B28&gt;(Inputs!$B$7+Inputs!$B$8)),0,IF((B28&lt;Inputs!$B$7),0,((B28-Inputs!$B$7))))</f>
        <v>0</v>
      </c>
      <c r="B28" s="7">
        <f t="shared" si="8"/>
        <v>2023</v>
      </c>
      <c r="C28" s="249">
        <f>Traffic_related_data!F50</f>
        <v>1.0475526352010796</v>
      </c>
      <c r="D28" s="249">
        <f t="shared" si="9"/>
        <v>0</v>
      </c>
      <c r="E28" s="133">
        <f t="shared" si="10"/>
        <v>0</v>
      </c>
      <c r="F28" s="133">
        <f t="shared" si="11"/>
        <v>0</v>
      </c>
      <c r="G28" s="133">
        <f t="shared" si="7"/>
        <v>0</v>
      </c>
      <c r="L28"/>
    </row>
    <row r="29" spans="1:36">
      <c r="A29" s="64">
        <f>IF((B29&gt;(Inputs!$B$7+Inputs!$B$8)),0,IF((B29&lt;Inputs!$B$7),0,((B29-Inputs!$B$7))))</f>
        <v>0</v>
      </c>
      <c r="B29" s="7">
        <f t="shared" si="8"/>
        <v>2024</v>
      </c>
      <c r="C29" s="249">
        <f>Traffic_related_data!F51</f>
        <v>1.0597899996319886</v>
      </c>
      <c r="D29" s="249">
        <f t="shared" si="9"/>
        <v>0</v>
      </c>
      <c r="E29" s="133">
        <f t="shared" si="10"/>
        <v>0</v>
      </c>
      <c r="F29" s="133">
        <f t="shared" si="11"/>
        <v>0</v>
      </c>
      <c r="G29" s="133">
        <f t="shared" si="7"/>
        <v>0</v>
      </c>
      <c r="L29"/>
    </row>
    <row r="30" spans="1:36">
      <c r="A30" s="64">
        <f>IF((B30&gt;(Inputs!$B$7+Inputs!$B$8)),0,IF((B30&lt;Inputs!$B$7),0,((B30-Inputs!$B$7))))</f>
        <v>0</v>
      </c>
      <c r="B30" s="7">
        <f t="shared" si="8"/>
        <v>2025</v>
      </c>
      <c r="C30" s="249">
        <f>Traffic_related_data!F52</f>
        <v>1.0721703192550118</v>
      </c>
      <c r="D30" s="249">
        <f t="shared" si="9"/>
        <v>0</v>
      </c>
      <c r="E30" s="133">
        <f t="shared" si="10"/>
        <v>0</v>
      </c>
      <c r="F30" s="133">
        <f t="shared" si="11"/>
        <v>0</v>
      </c>
      <c r="G30" s="133">
        <f t="shared" si="7"/>
        <v>0</v>
      </c>
      <c r="L30"/>
    </row>
    <row r="31" spans="1:36">
      <c r="A31" s="64">
        <f>IF((B31&gt;(Inputs!$B$7+Inputs!$B$8)),0,IF((B31&lt;Inputs!$B$7),0,((B31-Inputs!$B$7))))</f>
        <v>1</v>
      </c>
      <c r="B31" s="7">
        <f t="shared" si="8"/>
        <v>2026</v>
      </c>
      <c r="C31" s="249">
        <f>Traffic_related_data!F53</f>
        <v>1.084695264052854</v>
      </c>
      <c r="D31" s="249">
        <f t="shared" si="9"/>
        <v>48.594347829567873</v>
      </c>
      <c r="E31" s="133">
        <f t="shared" si="10"/>
        <v>3038665.312717665</v>
      </c>
      <c r="F31" s="133">
        <f t="shared" si="11"/>
        <v>2024791</v>
      </c>
      <c r="G31" s="133">
        <f t="shared" si="7"/>
        <v>2544834</v>
      </c>
      <c r="L31"/>
    </row>
    <row r="32" spans="1:36">
      <c r="A32" s="64">
        <f>IF((B32&gt;(Inputs!$B$7+Inputs!$B$8)),0,IF((B32&lt;Inputs!$B$7),0,((B32-Inputs!$B$7))))</f>
        <v>2</v>
      </c>
      <c r="B32" s="7">
        <f t="shared" si="8"/>
        <v>2027</v>
      </c>
      <c r="C32" s="249">
        <f>Traffic_related_data!F54</f>
        <v>1.097366523516726</v>
      </c>
      <c r="D32" s="249">
        <f t="shared" si="9"/>
        <v>49.162020253549336</v>
      </c>
      <c r="E32" s="133">
        <f t="shared" si="10"/>
        <v>3074162.5789797562</v>
      </c>
      <c r="F32" s="133">
        <f t="shared" si="11"/>
        <v>1914434</v>
      </c>
      <c r="G32" s="133">
        <f t="shared" si="7"/>
        <v>2499575</v>
      </c>
      <c r="L32"/>
    </row>
    <row r="33" spans="1:36">
      <c r="A33" s="64">
        <f>IF((B33&gt;(Inputs!$B$7+Inputs!$B$8)),0,IF((B33&lt;Inputs!$B$7),0,((B33-Inputs!$B$7))))</f>
        <v>3</v>
      </c>
      <c r="B33" s="7">
        <f t="shared" si="8"/>
        <v>2028</v>
      </c>
      <c r="C33" s="249">
        <f>Traffic_related_data!F55</f>
        <v>1.1101858068742407</v>
      </c>
      <c r="D33" s="249">
        <f t="shared" si="9"/>
        <v>49.736324147965995</v>
      </c>
      <c r="E33" s="133">
        <f t="shared" si="10"/>
        <v>3110074.519377498</v>
      </c>
      <c r="F33" s="133">
        <f t="shared" si="11"/>
        <v>1810092</v>
      </c>
      <c r="G33" s="133">
        <f t="shared" si="7"/>
        <v>2455122</v>
      </c>
      <c r="L33"/>
    </row>
    <row r="34" spans="1:36">
      <c r="A34" s="64">
        <f>IF((B34&gt;(Inputs!$B$7+Inputs!$B$8)),0,IF((B34&lt;Inputs!$B$7),0,((B34-Inputs!$B$7))))</f>
        <v>4</v>
      </c>
      <c r="B34" s="7">
        <f t="shared" si="8"/>
        <v>2029</v>
      </c>
      <c r="C34" s="249">
        <f>Traffic_related_data!F56</f>
        <v>1.1231548433199703</v>
      </c>
      <c r="D34" s="249">
        <f t="shared" si="9"/>
        <v>50.31733698073468</v>
      </c>
      <c r="E34" s="133">
        <f t="shared" si="10"/>
        <v>3146405.9780765646</v>
      </c>
      <c r="F34" s="133">
        <f t="shared" si="11"/>
        <v>1711436</v>
      </c>
      <c r="G34" s="133">
        <f t="shared" si="7"/>
        <v>2411458</v>
      </c>
      <c r="L34"/>
    </row>
    <row r="35" spans="1:36">
      <c r="A35" s="64">
        <f>IF((B35&gt;(Inputs!$B$7+Inputs!$B$8)),0,IF((B35&lt;Inputs!$B$7),0,((B35-Inputs!$B$7))))</f>
        <v>5</v>
      </c>
      <c r="B35" s="7">
        <f t="shared" si="8"/>
        <v>2030</v>
      </c>
      <c r="C35" s="249">
        <f>Traffic_related_data!F57</f>
        <v>1.1362753822486977</v>
      </c>
      <c r="D35" s="249">
        <f t="shared" si="9"/>
        <v>50.905137124741671</v>
      </c>
      <c r="E35" s="133">
        <f t="shared" si="10"/>
        <v>3183161.855831502</v>
      </c>
      <c r="F35" s="133">
        <f t="shared" si="11"/>
        <v>1618158</v>
      </c>
      <c r="G35" s="133">
        <f t="shared" si="7"/>
        <v>2368571</v>
      </c>
      <c r="L35"/>
    </row>
    <row r="36" spans="1:36">
      <c r="A36" s="64">
        <f>IF((B36&gt;(Inputs!$B$7+Inputs!$B$8)),0,IF((B36&lt;Inputs!$B$7),0,((B36-Inputs!$B$7))))</f>
        <v>6</v>
      </c>
      <c r="B36" s="7">
        <f t="shared" si="8"/>
        <v>2031</v>
      </c>
      <c r="C36" s="249">
        <f>Traffic_related_data!F58</f>
        <v>1.1495491934913937</v>
      </c>
      <c r="D36" s="249">
        <f t="shared" si="9"/>
        <v>51.499803868414453</v>
      </c>
      <c r="E36" s="133">
        <f t="shared" si="10"/>
        <v>3220347.1106467904</v>
      </c>
      <c r="F36" s="133">
        <f t="shared" si="11"/>
        <v>1529964</v>
      </c>
      <c r="G36" s="133">
        <f t="shared" si="7"/>
        <v>2326447</v>
      </c>
      <c r="L36"/>
    </row>
    <row r="37" spans="1:36">
      <c r="A37" s="64">
        <f>IF((B37&gt;(Inputs!$B$7+Inputs!$B$8)),0,IF((B37&lt;Inputs!$B$7),0,((B37-Inputs!$B$7))))</f>
        <v>7</v>
      </c>
      <c r="B37" s="7">
        <f t="shared" si="8"/>
        <v>2032</v>
      </c>
      <c r="C37" s="249">
        <f>Traffic_related_data!F59</f>
        <v>1.1629780675539474</v>
      </c>
      <c r="D37" s="249">
        <f t="shared" si="9"/>
        <v>52.101417426416859</v>
      </c>
      <c r="E37" s="133">
        <f t="shared" si="10"/>
        <v>3257966.7584456285</v>
      </c>
      <c r="F37" s="133">
        <f t="shared" si="11"/>
        <v>1446576</v>
      </c>
      <c r="G37" s="133">
        <f t="shared" si="7"/>
        <v>2285072</v>
      </c>
      <c r="L37"/>
    </row>
    <row r="38" spans="1:36">
      <c r="A38" s="64">
        <f>IF((B38&gt;(Inputs!$B$7+Inputs!$B$8)),0,IF((B38&lt;Inputs!$B$7),0,((B38-Inputs!$B$7))))</f>
        <v>8</v>
      </c>
      <c r="B38" s="7">
        <f t="shared" si="8"/>
        <v>2033</v>
      </c>
      <c r="C38" s="249">
        <f>Traffic_related_data!F60</f>
        <v>1.1765638158586902</v>
      </c>
      <c r="D38" s="249">
        <f t="shared" si="9"/>
        <v>52.710058950469332</v>
      </c>
      <c r="E38" s="133">
        <f t="shared" si="10"/>
        <v>3296025.8737465348</v>
      </c>
      <c r="F38" s="133">
        <f t="shared" si="11"/>
        <v>1367734</v>
      </c>
      <c r="G38" s="133">
        <f t="shared" si="7"/>
        <v>2244433</v>
      </c>
      <c r="L38"/>
    </row>
    <row r="39" spans="1:36">
      <c r="A39" s="64">
        <f>IF((B39&gt;(Inputs!$B$7+Inputs!$B$8)),0,IF((B39&lt;Inputs!$B$7),0,((B39-Inputs!$B$7))))</f>
        <v>9</v>
      </c>
      <c r="B39" s="7">
        <f t="shared" si="8"/>
        <v>2034</v>
      </c>
      <c r="C39" s="249">
        <f>Traffic_related_data!F61</f>
        <v>1.1903082709887371</v>
      </c>
      <c r="D39" s="249">
        <f t="shared" si="9"/>
        <v>53.325810540295436</v>
      </c>
      <c r="E39" s="133">
        <f t="shared" si="10"/>
        <v>3334529.5903478484</v>
      </c>
      <c r="F39" s="133">
        <f t="shared" si="11"/>
        <v>1293188</v>
      </c>
      <c r="G39" s="133">
        <f t="shared" si="7"/>
        <v>2204517</v>
      </c>
      <c r="L39"/>
    </row>
    <row r="40" spans="1:36">
      <c r="A40" s="64">
        <f>IF((B40&gt;(Inputs!$B$7+Inputs!$B$8)),0,IF((B40&lt;Inputs!$B$7),0,((B40-Inputs!$B$7))))</f>
        <v>10</v>
      </c>
      <c r="B40" s="7">
        <f t="shared" si="8"/>
        <v>2035</v>
      </c>
      <c r="C40" s="249">
        <f>Traffic_related_data!F62</f>
        <v>1.2042132869351849</v>
      </c>
      <c r="D40" s="249">
        <f t="shared" si="9"/>
        <v>53.948755254696302</v>
      </c>
      <c r="E40" s="133">
        <f t="shared" si="10"/>
        <v>3373483.1020202269</v>
      </c>
      <c r="F40" s="133">
        <f t="shared" si="11"/>
        <v>1222706</v>
      </c>
      <c r="G40" s="133">
        <f t="shared" si="7"/>
        <v>2165310</v>
      </c>
      <c r="L40"/>
    </row>
    <row r="41" spans="1:36">
      <c r="A41" s="64">
        <f>IF((B41&gt;(Inputs!$B$7+Inputs!$B$8)),0,IF((B41&lt;Inputs!$B$7),0,((B41-Inputs!$B$7))))</f>
        <v>11</v>
      </c>
      <c r="B41" s="7">
        <f t="shared" si="8"/>
        <v>2036</v>
      </c>
      <c r="C41" s="249">
        <f>Traffic_related_data!F63</f>
        <v>1.2182807393471966</v>
      </c>
      <c r="D41" s="249">
        <f t="shared" si="9"/>
        <v>54.578977122754424</v>
      </c>
      <c r="E41" s="133">
        <f t="shared" si="10"/>
        <v>3412891.6632072367</v>
      </c>
      <c r="F41" s="133">
        <f t="shared" si="11"/>
        <v>1156064</v>
      </c>
      <c r="G41" s="133">
        <f t="shared" si="7"/>
        <v>2126801</v>
      </c>
      <c r="L41"/>
    </row>
    <row r="42" spans="1:36">
      <c r="A42" s="64">
        <f>IF((B42&gt;(Inputs!$B$7+Inputs!$B$8)),0,IF((B42&lt;Inputs!$B$7),0,((B42-Inputs!$B$7))))</f>
        <v>12</v>
      </c>
      <c r="B42" s="7">
        <f t="shared" si="8"/>
        <v>2037</v>
      </c>
      <c r="C42" s="249">
        <f>Traffic_related_data!F64</f>
        <v>1.2325125257850087</v>
      </c>
      <c r="D42" s="249">
        <f t="shared" si="9"/>
        <v>55.216561155168407</v>
      </c>
      <c r="E42" s="133">
        <f t="shared" si="10"/>
        <v>3452760.5897341236</v>
      </c>
      <c r="F42" s="133">
        <f t="shared" si="11"/>
        <v>1093056</v>
      </c>
      <c r="G42" s="133">
        <f t="shared" si="7"/>
        <v>2088977</v>
      </c>
      <c r="L42"/>
    </row>
    <row r="43" spans="1:36">
      <c r="A43" s="64">
        <f>IF((B43&gt;(Inputs!$B$7+Inputs!$B$8)),0,IF((B43&lt;Inputs!$B$7),0,((B43-Inputs!$B$7))))</f>
        <v>13</v>
      </c>
      <c r="B43" s="7">
        <f t="shared" si="8"/>
        <v>2038</v>
      </c>
      <c r="C43" s="249">
        <f>Traffic_related_data!F65</f>
        <v>1.2469105659758923</v>
      </c>
      <c r="D43" s="249">
        <f t="shared" si="9"/>
        <v>55.86159335571999</v>
      </c>
      <c r="E43" s="133">
        <f t="shared" si="10"/>
        <v>3493095.2595248646</v>
      </c>
      <c r="F43" s="133">
        <f t="shared" si="11"/>
        <v>1033481</v>
      </c>
      <c r="G43" s="133">
        <f t="shared" si="7"/>
        <v>2051825</v>
      </c>
      <c r="L43"/>
    </row>
    <row r="44" spans="1:36">
      <c r="A44" s="64">
        <f>IF((B44&gt;(Inputs!$B$7+Inputs!$B$8)),0,IF((B44&lt;Inputs!$B$7),0,((B44-Inputs!$B$7))))</f>
        <v>14</v>
      </c>
      <c r="B44" s="7">
        <f t="shared" si="8"/>
        <v>2039</v>
      </c>
      <c r="C44" s="249">
        <f>Traffic_related_data!F66</f>
        <v>1.2614768020731066</v>
      </c>
      <c r="D44" s="249">
        <f t="shared" si="9"/>
        <v>56.51416073287519</v>
      </c>
      <c r="E44" s="133">
        <f t="shared" si="10"/>
        <v>3533901.113327601</v>
      </c>
      <c r="F44" s="133">
        <f t="shared" si="11"/>
        <v>977153</v>
      </c>
      <c r="G44" s="133">
        <f t="shared" si="7"/>
        <v>2015334</v>
      </c>
      <c r="L44"/>
    </row>
    <row r="45" spans="1:36">
      <c r="A45" s="64">
        <f>IF((B45&gt;(Inputs!$B$7+Inputs!$B$8)),0,IF((B45&lt;Inputs!$B$7),0,((B45-Inputs!$B$7))))</f>
        <v>15</v>
      </c>
      <c r="B45" s="7">
        <f t="shared" si="8"/>
        <v>2040</v>
      </c>
      <c r="C45" s="249">
        <f>Traffic_related_data!F67</f>
        <v>1.2762131989178753</v>
      </c>
      <c r="D45" s="249">
        <f t="shared" si="9"/>
        <v>57.17435131152083</v>
      </c>
      <c r="E45" s="133">
        <f t="shared" si="10"/>
        <v>3575183.6554485359</v>
      </c>
      <c r="F45" s="133">
        <f t="shared" si="11"/>
        <v>923895</v>
      </c>
      <c r="G45" s="133">
        <f t="shared" si="7"/>
        <v>1979493</v>
      </c>
      <c r="L45"/>
    </row>
    <row r="46" spans="1:36">
      <c r="A46" s="64">
        <f>IF((B46&gt;(Inputs!$B$7+Inputs!$B$8)),0,IF((B46&lt;Inputs!$B$7),0,((B46-Inputs!$B$7))))</f>
        <v>16</v>
      </c>
      <c r="B46" s="7">
        <f t="shared" si="8"/>
        <v>2041</v>
      </c>
      <c r="C46" s="249">
        <f>Traffic_related_data!F68</f>
        <v>1.2911217443044243</v>
      </c>
      <c r="D46" s="249">
        <f t="shared" si="9"/>
        <v>57.842254144838222</v>
      </c>
      <c r="E46" s="133">
        <f t="shared" si="10"/>
        <v>3616948.4544944144</v>
      </c>
      <c r="F46" s="133">
        <f t="shared" si="11"/>
        <v>873540</v>
      </c>
      <c r="G46" s="133">
        <f t="shared" si="7"/>
        <v>1944288</v>
      </c>
      <c r="L46"/>
    </row>
    <row r="47" spans="1:36">
      <c r="A47" s="64">
        <f>IF((B47&gt;(Inputs!$B$7+Inputs!$B$8)),0,IF((B47&lt;Inputs!$B$7),0,((B47-Inputs!$B$7))))</f>
        <v>17</v>
      </c>
      <c r="B47" s="7">
        <f t="shared" si="8"/>
        <v>2042</v>
      </c>
      <c r="C47" s="249">
        <f>Traffic_related_data!F69</f>
        <v>1.3062044492481155</v>
      </c>
      <c r="D47" s="249">
        <f t="shared" si="9"/>
        <v>58.517959326315591</v>
      </c>
      <c r="E47" s="133">
        <f t="shared" si="10"/>
        <v>3659201.1441236706</v>
      </c>
      <c r="F47" s="133">
        <f t="shared" si="11"/>
        <v>825930</v>
      </c>
      <c r="G47" s="133">
        <f t="shared" si="7"/>
        <v>1909710</v>
      </c>
      <c r="L47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</row>
    <row r="48" spans="1:36" s="64" customFormat="1">
      <c r="A48" s="64">
        <f>IF((B48&gt;(Inputs!$B$7+Inputs!$B$8)),0,IF((B48&lt;Inputs!$B$7),0,((B48-Inputs!$B$7))))</f>
        <v>18</v>
      </c>
      <c r="B48" s="7">
        <f t="shared" si="8"/>
        <v>2043</v>
      </c>
      <c r="C48" s="249">
        <f>Traffic_related_data!F70</f>
        <v>1.3214633482567135</v>
      </c>
      <c r="D48" s="249">
        <f t="shared" si="9"/>
        <v>59.201558001900779</v>
      </c>
      <c r="E48" s="133">
        <f t="shared" si="10"/>
        <v>3701947.4238063572</v>
      </c>
      <c r="F48" s="133">
        <f t="shared" si="11"/>
        <v>780914</v>
      </c>
      <c r="G48" s="133">
        <f t="shared" si="7"/>
        <v>1875746</v>
      </c>
    </row>
    <row r="49" spans="1:7" s="64" customFormat="1">
      <c r="A49" s="64">
        <f>IF((B49&gt;(Inputs!$B$7+Inputs!$B$8)),0,IF((B49&lt;Inputs!$B$7),0,((B49-Inputs!$B$7))))</f>
        <v>19</v>
      </c>
      <c r="B49" s="7">
        <f t="shared" si="8"/>
        <v>2044</v>
      </c>
      <c r="C49" s="249">
        <f>Traffic_related_data!F71</f>
        <v>1.3369004996048197</v>
      </c>
      <c r="D49" s="249">
        <f t="shared" si="9"/>
        <v>59.893142382295942</v>
      </c>
      <c r="E49" s="133">
        <f t="shared" si="10"/>
        <v>3745193.0595929418</v>
      </c>
      <c r="F49" s="133">
        <f t="shared" si="11"/>
        <v>738352</v>
      </c>
      <c r="G49" s="133">
        <f t="shared" si="7"/>
        <v>1842387</v>
      </c>
    </row>
    <row r="50" spans="1:7" s="64" customFormat="1">
      <c r="A50" s="64">
        <f>IF((B50&gt;(Inputs!$B$7+Inputs!$B$8)),0,IF((B50&lt;Inputs!$B$7),0,((B50-Inputs!$B$7))))</f>
        <v>20</v>
      </c>
      <c r="B50" s="7">
        <f t="shared" si="8"/>
        <v>2045</v>
      </c>
      <c r="C50" s="249">
        <f>Traffic_related_data!F72</f>
        <v>1.3525179856115137</v>
      </c>
      <c r="D50" s="249">
        <f t="shared" si="9"/>
        <v>60.59280575539583</v>
      </c>
      <c r="E50" s="133">
        <f t="shared" si="10"/>
        <v>3788943.8848920944</v>
      </c>
      <c r="F50" s="133">
        <f t="shared" si="11"/>
        <v>698110</v>
      </c>
      <c r="G50" s="133">
        <f t="shared" si="7"/>
        <v>1809621</v>
      </c>
    </row>
    <row r="51" spans="1:7" s="64" customFormat="1">
      <c r="A51" s="64">
        <f>IF((B51&gt;(Inputs!$B$7+Inputs!$B$8)),0,IF((B51&lt;Inputs!$B$7),0,((B51-Inputs!$B$7))))</f>
        <v>21</v>
      </c>
      <c r="B51" s="7">
        <f t="shared" si="8"/>
        <v>2046</v>
      </c>
      <c r="C51" s="249">
        <f>Traffic_related_data!F73</f>
        <v>1.3525179856115108</v>
      </c>
      <c r="D51" s="249">
        <f t="shared" si="9"/>
        <v>60.592805755395702</v>
      </c>
      <c r="E51" s="133">
        <f t="shared" si="10"/>
        <v>3788943.8848920865</v>
      </c>
      <c r="F51" s="133">
        <f t="shared" si="11"/>
        <v>652439</v>
      </c>
      <c r="G51" s="133">
        <f t="shared" si="7"/>
        <v>1756913</v>
      </c>
    </row>
    <row r="52" spans="1:7" s="64" customFormat="1">
      <c r="A52" s="64">
        <f>IF((B52&gt;(Inputs!$B$7+Inputs!$B$8)),0,IF((B52&lt;Inputs!$B$7),0,((B52-Inputs!$B$7))))</f>
        <v>22</v>
      </c>
      <c r="B52" s="7">
        <f t="shared" si="8"/>
        <v>2047</v>
      </c>
      <c r="C52" s="249">
        <f>Traffic_related_data!F74</f>
        <v>1.3525179856115108</v>
      </c>
      <c r="D52" s="249">
        <f t="shared" si="9"/>
        <v>60.592805755395702</v>
      </c>
      <c r="E52" s="133">
        <f t="shared" si="10"/>
        <v>3788943.8848920865</v>
      </c>
      <c r="F52" s="133">
        <f t="shared" si="11"/>
        <v>609756</v>
      </c>
      <c r="G52" s="133">
        <f t="shared" si="7"/>
        <v>1705741</v>
      </c>
    </row>
    <row r="53" spans="1:7" s="64" customFormat="1">
      <c r="A53" s="64">
        <f>IF((B53&gt;(Inputs!$B$7+Inputs!$B$8)),0,IF((B53&lt;Inputs!$B$7),0,((B53-Inputs!$B$7))))</f>
        <v>23</v>
      </c>
      <c r="B53" s="7">
        <f t="shared" si="8"/>
        <v>2048</v>
      </c>
      <c r="C53" s="249">
        <f>Traffic_related_data!F75</f>
        <v>1.3525179856115108</v>
      </c>
      <c r="D53" s="249">
        <f t="shared" si="9"/>
        <v>60.592805755395702</v>
      </c>
      <c r="E53" s="133">
        <f t="shared" si="10"/>
        <v>3788943.8848920865</v>
      </c>
      <c r="F53" s="133">
        <f t="shared" si="11"/>
        <v>569866</v>
      </c>
      <c r="G53" s="133">
        <f t="shared" si="7"/>
        <v>1656059</v>
      </c>
    </row>
    <row r="54" spans="1:7" s="64" customFormat="1">
      <c r="A54" s="64">
        <f>IF((B54&gt;(Inputs!$B$7+Inputs!$B$8)),0,IF((B54&lt;Inputs!$B$7),0,((B54-Inputs!$B$7))))</f>
        <v>24</v>
      </c>
      <c r="B54" s="7">
        <f t="shared" si="8"/>
        <v>2049</v>
      </c>
      <c r="C54" s="249">
        <f>Traffic_related_data!F76</f>
        <v>1.3525179856115108</v>
      </c>
      <c r="D54" s="249">
        <f t="shared" si="9"/>
        <v>60.592805755395702</v>
      </c>
      <c r="E54" s="133">
        <f t="shared" si="10"/>
        <v>3788943.8848920865</v>
      </c>
      <c r="F54" s="133">
        <f t="shared" si="11"/>
        <v>532585</v>
      </c>
      <c r="G54" s="133">
        <f t="shared" si="7"/>
        <v>1607825</v>
      </c>
    </row>
    <row r="55" spans="1:7" s="64" customFormat="1">
      <c r="A55" s="64">
        <f>IF((B55&gt;(Inputs!$B$7+Inputs!$B$8)),0,IF((B55&lt;Inputs!$B$7),0,((B55-Inputs!$B$7))))</f>
        <v>25</v>
      </c>
      <c r="B55" s="7">
        <f t="shared" si="8"/>
        <v>2050</v>
      </c>
      <c r="C55" s="249">
        <f>Traffic_related_data!F77</f>
        <v>1.3525179856115108</v>
      </c>
      <c r="D55" s="249">
        <f t="shared" si="9"/>
        <v>60.592805755395702</v>
      </c>
      <c r="E55" s="133">
        <f t="shared" si="10"/>
        <v>3788943.8848920865</v>
      </c>
      <c r="F55" s="133">
        <f t="shared" si="11"/>
        <v>497743</v>
      </c>
      <c r="G55" s="133">
        <f t="shared" si="7"/>
        <v>1560995</v>
      </c>
    </row>
    <row r="56" spans="1:7" s="64" customFormat="1">
      <c r="A56" s="64">
        <f>IF((B56&gt;(Inputs!$B$7+Inputs!$B$8)),0,IF((B56&lt;Inputs!$B$7),0,((B56-Inputs!$B$7))))</f>
        <v>26</v>
      </c>
      <c r="B56" s="7">
        <f t="shared" si="8"/>
        <v>2051</v>
      </c>
      <c r="C56" s="249">
        <f>Traffic_related_data!F78</f>
        <v>1.3525179856115108</v>
      </c>
      <c r="D56" s="249">
        <f t="shared" si="9"/>
        <v>60.592805755395702</v>
      </c>
      <c r="E56" s="133">
        <f t="shared" si="10"/>
        <v>3788943.8848920865</v>
      </c>
      <c r="F56" s="133">
        <f t="shared" si="11"/>
        <v>465180</v>
      </c>
      <c r="G56" s="133">
        <f t="shared" si="7"/>
        <v>1515529</v>
      </c>
    </row>
    <row r="57" spans="1:7" s="64" customFormat="1">
      <c r="A57" s="64">
        <f>IF((B57&gt;(Inputs!$B$7+Inputs!$B$8)),0,IF((B57&lt;Inputs!$B$7),0,((B57-Inputs!$B$7))))</f>
        <v>27</v>
      </c>
      <c r="B57" s="7">
        <f t="shared" si="8"/>
        <v>2052</v>
      </c>
      <c r="C57" s="249">
        <f>Traffic_related_data!F79</f>
        <v>1.3525179856115108</v>
      </c>
      <c r="D57" s="249">
        <f t="shared" si="9"/>
        <v>60.592805755395702</v>
      </c>
      <c r="E57" s="133">
        <f t="shared" si="10"/>
        <v>3788943.8848920865</v>
      </c>
      <c r="F57" s="133">
        <f t="shared" si="11"/>
        <v>434748</v>
      </c>
      <c r="G57" s="133">
        <f t="shared" si="7"/>
        <v>1471387</v>
      </c>
    </row>
    <row r="58" spans="1:7" s="64" customFormat="1">
      <c r="A58" s="64">
        <f>IF((B58&gt;(Inputs!$B$7+Inputs!$B$8)),0,IF((B58&lt;Inputs!$B$7),0,((B58-Inputs!$B$7))))</f>
        <v>28</v>
      </c>
      <c r="B58" s="7">
        <f t="shared" si="8"/>
        <v>2053</v>
      </c>
      <c r="C58" s="249">
        <f>Traffic_related_data!F80</f>
        <v>1.3525179856115108</v>
      </c>
      <c r="D58" s="249">
        <f t="shared" si="9"/>
        <v>60.592805755395702</v>
      </c>
      <c r="E58" s="133">
        <f t="shared" si="10"/>
        <v>3788943.8848920865</v>
      </c>
      <c r="F58" s="133">
        <f t="shared" si="11"/>
        <v>406306</v>
      </c>
      <c r="G58" s="133">
        <f t="shared" si="7"/>
        <v>1428531</v>
      </c>
    </row>
    <row r="59" spans="1:7" s="64" customFormat="1">
      <c r="A59" s="64">
        <f>IF((B59&gt;(Inputs!$B$7+Inputs!$B$8)),0,IF((B59&lt;Inputs!$B$7),0,((B59-Inputs!$B$7))))</f>
        <v>29</v>
      </c>
      <c r="B59" s="7">
        <f t="shared" si="8"/>
        <v>2054</v>
      </c>
      <c r="C59" s="249">
        <f>Traffic_related_data!F81</f>
        <v>1.3525179856115108</v>
      </c>
      <c r="D59" s="249">
        <f t="shared" si="9"/>
        <v>60.592805755395702</v>
      </c>
      <c r="E59" s="133">
        <f t="shared" si="10"/>
        <v>3788943.8848920865</v>
      </c>
      <c r="F59" s="133">
        <f t="shared" si="11"/>
        <v>379725</v>
      </c>
      <c r="G59" s="133">
        <f t="shared" si="7"/>
        <v>1386924</v>
      </c>
    </row>
    <row r="60" spans="1:7" s="64" customFormat="1">
      <c r="A60" s="64">
        <f>IF((B60&gt;(Inputs!$B$7+Inputs!$B$8)),0,IF((B60&lt;Inputs!$B$7),0,((B60-Inputs!$B$7))))</f>
        <v>30</v>
      </c>
      <c r="B60" s="7">
        <f t="shared" si="8"/>
        <v>2055</v>
      </c>
      <c r="C60" s="249">
        <f>Traffic_related_data!F82</f>
        <v>1.3525179856115108</v>
      </c>
      <c r="D60" s="249">
        <f t="shared" si="9"/>
        <v>60.592805755395702</v>
      </c>
      <c r="E60" s="133">
        <f t="shared" si="10"/>
        <v>3788943.8848920865</v>
      </c>
      <c r="F60" s="133">
        <f t="shared" si="11"/>
        <v>354884</v>
      </c>
      <c r="G60" s="133">
        <f t="shared" si="7"/>
        <v>1346528</v>
      </c>
    </row>
    <row r="61" spans="1:7" s="64" customFormat="1">
      <c r="A61" s="64">
        <f>IF((B61&gt;(Inputs!$B$7+Inputs!$B$8)),0,IF((B61&lt;Inputs!$B$7),0,((B61-Inputs!$B$7))))</f>
        <v>0</v>
      </c>
      <c r="B61" s="7">
        <f t="shared" si="8"/>
        <v>2056</v>
      </c>
      <c r="C61" s="249">
        <f>Traffic_related_data!F83</f>
        <v>1.3525179856115108</v>
      </c>
      <c r="D61" s="249">
        <f t="shared" si="9"/>
        <v>0</v>
      </c>
      <c r="E61" s="133">
        <f t="shared" si="10"/>
        <v>0</v>
      </c>
      <c r="F61" s="133">
        <f t="shared" si="11"/>
        <v>0</v>
      </c>
      <c r="G61" s="133">
        <f t="shared" si="7"/>
        <v>0</v>
      </c>
    </row>
    <row r="62" spans="1:7" s="64" customFormat="1">
      <c r="A62" s="64">
        <f>IF((B62&gt;(Inputs!$B$7+Inputs!$B$8)),0,IF((B62&lt;Inputs!$B$7),0,((B62-Inputs!$B$7))))</f>
        <v>0</v>
      </c>
      <c r="B62" s="7">
        <f t="shared" si="8"/>
        <v>2057</v>
      </c>
      <c r="C62" s="249">
        <f>Traffic_related_data!F84</f>
        <v>1.3525179856115108</v>
      </c>
      <c r="D62" s="249">
        <f t="shared" si="9"/>
        <v>0</v>
      </c>
      <c r="E62" s="133">
        <f t="shared" si="10"/>
        <v>0</v>
      </c>
      <c r="F62" s="133">
        <f t="shared" si="11"/>
        <v>0</v>
      </c>
      <c r="G62" s="133">
        <f t="shared" si="7"/>
        <v>0</v>
      </c>
    </row>
    <row r="63" spans="1:7" s="64" customFormat="1">
      <c r="A63" s="64">
        <f>IF((B63&gt;(Inputs!$B$7+Inputs!$B$8)),0,IF((B63&lt;Inputs!$B$7),0,((B63-Inputs!$B$7))))</f>
        <v>0</v>
      </c>
      <c r="B63" s="7">
        <f t="shared" si="8"/>
        <v>2058</v>
      </c>
      <c r="C63" s="249">
        <f>Traffic_related_data!F85</f>
        <v>1.3525179856115108</v>
      </c>
      <c r="D63" s="249">
        <f t="shared" si="9"/>
        <v>0</v>
      </c>
      <c r="E63" s="133">
        <f t="shared" si="10"/>
        <v>0</v>
      </c>
      <c r="F63" s="133">
        <f t="shared" si="11"/>
        <v>0</v>
      </c>
      <c r="G63" s="133">
        <f t="shared" si="7"/>
        <v>0</v>
      </c>
    </row>
    <row r="64" spans="1:7" s="64" customFormat="1">
      <c r="A64" s="64">
        <f>IF((B64&gt;(Inputs!$B$7+Inputs!$B$8)),0,IF((B64&lt;Inputs!$B$7),0,((B64-Inputs!$B$7))))</f>
        <v>0</v>
      </c>
      <c r="B64" s="7">
        <f t="shared" si="8"/>
        <v>2059</v>
      </c>
      <c r="C64" s="249">
        <f>Traffic_related_data!F86</f>
        <v>1.3525179856115108</v>
      </c>
      <c r="D64" s="249">
        <f t="shared" si="9"/>
        <v>0</v>
      </c>
      <c r="E64" s="133">
        <f t="shared" si="10"/>
        <v>0</v>
      </c>
      <c r="F64" s="133">
        <f t="shared" si="11"/>
        <v>0</v>
      </c>
      <c r="G64" s="133">
        <f t="shared" si="7"/>
        <v>0</v>
      </c>
    </row>
    <row r="65" spans="1:36" s="64" customFormat="1">
      <c r="A65" s="64">
        <f>IF((B65&gt;(Inputs!$B$7+Inputs!$B$8)),0,IF((B65&lt;Inputs!$B$7),0,((B65-Inputs!$B$7))))</f>
        <v>0</v>
      </c>
      <c r="B65" s="7">
        <f t="shared" si="8"/>
        <v>2060</v>
      </c>
      <c r="C65" s="249">
        <f>Traffic_related_data!F87</f>
        <v>1.3525179856115108</v>
      </c>
      <c r="D65" s="249">
        <f t="shared" si="9"/>
        <v>0</v>
      </c>
      <c r="E65" s="133">
        <f t="shared" si="10"/>
        <v>0</v>
      </c>
      <c r="F65" s="133">
        <f t="shared" si="11"/>
        <v>0</v>
      </c>
      <c r="G65" s="133">
        <f t="shared" si="7"/>
        <v>0</v>
      </c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>
      <c r="D66" s="64"/>
      <c r="E66"/>
      <c r="F66" s="134"/>
      <c r="G66" s="134"/>
      <c r="L66"/>
    </row>
    <row r="67" spans="1:36">
      <c r="D67" s="64"/>
      <c r="E67"/>
      <c r="F67" s="138">
        <f>SUM(F23:F65)</f>
        <v>29942806</v>
      </c>
      <c r="G67" s="138">
        <f>SUM(G23:G65)</f>
        <v>58585953</v>
      </c>
      <c r="L67"/>
    </row>
    <row r="68" spans="1:36">
      <c r="D68" s="64"/>
      <c r="E68"/>
      <c r="G68" s="64"/>
      <c r="I68"/>
      <c r="J68" s="64"/>
      <c r="L68"/>
      <c r="M68" s="64"/>
    </row>
    <row r="69" spans="1:36">
      <c r="D69" s="64"/>
      <c r="E69"/>
      <c r="G69" s="64"/>
      <c r="I69"/>
      <c r="J69" s="64"/>
      <c r="L69"/>
      <c r="M69" s="64"/>
    </row>
    <row r="70" spans="1:36">
      <c r="D70" s="64"/>
      <c r="E70"/>
      <c r="G70" s="64"/>
      <c r="I70"/>
      <c r="J70" s="64"/>
      <c r="L70"/>
      <c r="M70" s="64"/>
    </row>
    <row r="71" spans="1:36">
      <c r="D71" s="64"/>
      <c r="E71"/>
      <c r="G71" s="64"/>
      <c r="I71"/>
      <c r="J71" s="64"/>
      <c r="L71"/>
      <c r="M71" s="64"/>
    </row>
  </sheetData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theme="6" tint="-0.249977111117893"/>
  </sheetPr>
  <dimension ref="A1:F60"/>
  <sheetViews>
    <sheetView topLeftCell="A13" workbookViewId="0">
      <selection activeCell="D16" sqref="D16:D23"/>
    </sheetView>
  </sheetViews>
  <sheetFormatPr defaultColWidth="8.85546875" defaultRowHeight="15"/>
  <cols>
    <col min="1" max="1" width="9.85546875" style="333" customWidth="1"/>
    <col min="2" max="2" width="24.28515625" style="64" customWidth="1"/>
    <col min="3" max="3" width="14.7109375" style="64" bestFit="1" customWidth="1"/>
    <col min="4" max="5" width="12.5703125" style="64" bestFit="1" customWidth="1"/>
    <col min="6" max="16384" width="8.85546875" style="64"/>
  </cols>
  <sheetData>
    <row r="1" spans="1:6">
      <c r="A1" s="338"/>
      <c r="C1" s="635" t="s">
        <v>486</v>
      </c>
      <c r="D1" s="636"/>
      <c r="E1" s="642"/>
    </row>
    <row r="2" spans="1:6">
      <c r="A2" s="675" t="s">
        <v>103</v>
      </c>
      <c r="B2" s="695"/>
      <c r="C2" s="303">
        <f>Costs_Summary!D6</f>
        <v>2869609</v>
      </c>
      <c r="D2" s="299" t="s">
        <v>299</v>
      </c>
      <c r="E2" s="143"/>
    </row>
    <row r="3" spans="1:6">
      <c r="B3" s="64" t="s">
        <v>105</v>
      </c>
      <c r="C3" s="303">
        <f>Costs_Summary!D14</f>
        <v>135994339.5</v>
      </c>
      <c r="D3" s="299" t="s">
        <v>299</v>
      </c>
      <c r="E3" s="304" t="s">
        <v>283</v>
      </c>
    </row>
    <row r="4" spans="1:6">
      <c r="B4" s="64" t="s">
        <v>29</v>
      </c>
      <c r="C4" s="142">
        <v>2023</v>
      </c>
      <c r="D4" s="65" t="s">
        <v>30</v>
      </c>
      <c r="E4" s="143"/>
    </row>
    <row r="5" spans="1:6">
      <c r="B5" s="64" t="s">
        <v>31</v>
      </c>
      <c r="C5" s="142">
        <v>2025</v>
      </c>
      <c r="D5" s="65" t="s">
        <v>32</v>
      </c>
      <c r="E5" s="143"/>
    </row>
    <row r="6" spans="1:6">
      <c r="B6" s="64" t="s">
        <v>213</v>
      </c>
      <c r="C6" s="303">
        <f>C2+C3</f>
        <v>138863948.5</v>
      </c>
      <c r="D6" s="65"/>
      <c r="E6" s="143"/>
    </row>
    <row r="7" spans="1:6">
      <c r="C7" s="303"/>
      <c r="D7" s="65"/>
      <c r="E7" s="143"/>
    </row>
    <row r="8" spans="1:6">
      <c r="A8" s="675" t="s">
        <v>467</v>
      </c>
      <c r="B8" s="695"/>
      <c r="C8" s="303">
        <f>Costs_Summary!D18</f>
        <v>5353880.0705467369</v>
      </c>
      <c r="D8" s="299" t="s">
        <v>299</v>
      </c>
      <c r="E8" s="143"/>
    </row>
    <row r="9" spans="1:6">
      <c r="A9" s="675" t="s">
        <v>460</v>
      </c>
      <c r="B9" s="695"/>
      <c r="C9" s="142">
        <v>10</v>
      </c>
      <c r="D9" s="65"/>
      <c r="E9" s="143"/>
    </row>
    <row r="10" spans="1:6">
      <c r="C10" s="303"/>
      <c r="D10" s="65"/>
      <c r="E10" s="143"/>
    </row>
    <row r="11" spans="1:6">
      <c r="A11" s="333" t="s">
        <v>4</v>
      </c>
      <c r="B11" s="64">
        <f>Inputs!B10</f>
        <v>2020</v>
      </c>
      <c r="C11" s="142"/>
      <c r="D11" s="65"/>
      <c r="E11" s="143"/>
    </row>
    <row r="12" spans="1:6">
      <c r="C12" s="142"/>
      <c r="D12" s="300"/>
      <c r="E12" s="305"/>
    </row>
    <row r="13" spans="1:6">
      <c r="C13" s="142"/>
      <c r="D13" s="300">
        <f>Inputs!$B$3</f>
        <v>7.0000000000000007E-2</v>
      </c>
      <c r="E13" s="305">
        <f>Inputs!$B$4</f>
        <v>0.03</v>
      </c>
    </row>
    <row r="14" spans="1:6" ht="30">
      <c r="A14" s="75" t="s">
        <v>147</v>
      </c>
      <c r="B14" s="16" t="s">
        <v>0</v>
      </c>
      <c r="C14" s="306" t="s">
        <v>106</v>
      </c>
      <c r="D14" s="301" t="s">
        <v>107</v>
      </c>
      <c r="E14" s="307" t="s">
        <v>108</v>
      </c>
    </row>
    <row r="15" spans="1:6">
      <c r="A15" s="333">
        <v>-8</v>
      </c>
      <c r="B15" s="7">
        <v>2017</v>
      </c>
      <c r="C15" s="308"/>
      <c r="D15" s="302">
        <f t="shared" ref="D15" si="0">ROUND(C15/((1+D$13)^($B15-$B$11)),0)</f>
        <v>0</v>
      </c>
      <c r="E15" s="309">
        <f t="shared" ref="E15" si="1">ROUND(C15/((1+E$13)^($B15-$B$11)),0)</f>
        <v>0</v>
      </c>
    </row>
    <row r="16" spans="1:6">
      <c r="A16" s="333">
        <v>-7</v>
      </c>
      <c r="B16" s="7">
        <v>2018</v>
      </c>
      <c r="C16" s="310">
        <f>C2</f>
        <v>2869609</v>
      </c>
      <c r="D16" s="302">
        <f>ROUND(C16/((1+D$13)^($B16-$B$11)),0)</f>
        <v>3285415</v>
      </c>
      <c r="E16" s="309">
        <f>ROUND(C16/((1+E$13)^($B16-$B$11)),0)</f>
        <v>3044368</v>
      </c>
      <c r="F16" s="64" t="s">
        <v>262</v>
      </c>
    </row>
    <row r="17" spans="1:5">
      <c r="A17" s="333">
        <v>-6</v>
      </c>
      <c r="B17" s="7">
        <v>2019</v>
      </c>
      <c r="C17" s="310"/>
      <c r="D17" s="302">
        <f t="shared" ref="D17:D58" si="2">ROUND(C17/((1+D$13)^($B17-$B$11)),0)</f>
        <v>0</v>
      </c>
      <c r="E17" s="309">
        <f t="shared" ref="E17:E58" si="3">ROUND(C17/((1+E$13)^($B17-$B$11)),0)</f>
        <v>0</v>
      </c>
    </row>
    <row r="18" spans="1:5">
      <c r="A18" s="333">
        <v>-5</v>
      </c>
      <c r="B18" s="7">
        <v>2020</v>
      </c>
      <c r="C18" s="311"/>
      <c r="D18" s="302">
        <f t="shared" si="2"/>
        <v>0</v>
      </c>
      <c r="E18" s="309">
        <f t="shared" si="3"/>
        <v>0</v>
      </c>
    </row>
    <row r="19" spans="1:5">
      <c r="A19" s="333">
        <v>-4</v>
      </c>
      <c r="B19" s="7">
        <v>2021</v>
      </c>
      <c r="C19" s="311"/>
      <c r="D19" s="302">
        <f t="shared" si="2"/>
        <v>0</v>
      </c>
      <c r="E19" s="309">
        <f t="shared" si="3"/>
        <v>0</v>
      </c>
    </row>
    <row r="20" spans="1:5">
      <c r="A20" s="333">
        <v>-3</v>
      </c>
      <c r="B20" s="7">
        <v>2022</v>
      </c>
      <c r="C20" s="311"/>
      <c r="D20" s="302">
        <f t="shared" si="2"/>
        <v>0</v>
      </c>
      <c r="E20" s="309">
        <f t="shared" si="3"/>
        <v>0</v>
      </c>
    </row>
    <row r="21" spans="1:5">
      <c r="A21" s="333">
        <v>-2</v>
      </c>
      <c r="B21" s="7">
        <v>2023</v>
      </c>
      <c r="C21" s="312">
        <f>C$3/3</f>
        <v>45331446.5</v>
      </c>
      <c r="D21" s="302">
        <f t="shared" si="2"/>
        <v>37003964</v>
      </c>
      <c r="E21" s="309">
        <f t="shared" si="3"/>
        <v>41484695</v>
      </c>
    </row>
    <row r="22" spans="1:5">
      <c r="A22" s="333">
        <v>-1</v>
      </c>
      <c r="B22" s="7">
        <v>2024</v>
      </c>
      <c r="C22" s="312">
        <f>C$3/3</f>
        <v>45331446.5</v>
      </c>
      <c r="D22" s="302">
        <f t="shared" si="2"/>
        <v>34583143</v>
      </c>
      <c r="E22" s="309">
        <f t="shared" si="3"/>
        <v>40276403</v>
      </c>
    </row>
    <row r="23" spans="1:5">
      <c r="A23" s="333">
        <f>IF((B23&gt;(Inputs!$B$7+Inputs!$B$8-0)),0,IF((B23&lt;Inputs!$B$7),0,((B23-Inputs!$B$7)+0)))</f>
        <v>0</v>
      </c>
      <c r="B23" s="7">
        <v>2025</v>
      </c>
      <c r="C23" s="312">
        <f>C$3/3</f>
        <v>45331446.5</v>
      </c>
      <c r="D23" s="302">
        <f t="shared" si="2"/>
        <v>32320695</v>
      </c>
      <c r="E23" s="309">
        <f t="shared" si="3"/>
        <v>39103304</v>
      </c>
    </row>
    <row r="24" spans="1:5">
      <c r="A24" s="333">
        <f>IF((B24&gt;(Inputs!$B$7+Inputs!$B$8-0)),0,IF((B24&lt;Inputs!$B$7),0,((B24-Inputs!$B$7)+0)))</f>
        <v>1</v>
      </c>
      <c r="B24" s="7">
        <v>2026</v>
      </c>
      <c r="C24" s="312"/>
      <c r="D24" s="302">
        <f t="shared" si="2"/>
        <v>0</v>
      </c>
      <c r="E24" s="309">
        <f t="shared" si="3"/>
        <v>0</v>
      </c>
    </row>
    <row r="25" spans="1:5">
      <c r="A25" s="333">
        <f>IF((B25&gt;(Inputs!$B$7+Inputs!$B$8-0)),0,IF((B25&lt;Inputs!$B$7),0,((B25-Inputs!$B$7)+0)))</f>
        <v>2</v>
      </c>
      <c r="B25" s="7">
        <v>2027</v>
      </c>
      <c r="C25" s="312"/>
      <c r="D25" s="302">
        <f t="shared" si="2"/>
        <v>0</v>
      </c>
      <c r="E25" s="309">
        <f t="shared" si="3"/>
        <v>0</v>
      </c>
    </row>
    <row r="26" spans="1:5">
      <c r="A26" s="333">
        <f>IF((B26&gt;(Inputs!$B$7+Inputs!$B$8-0)),0,IF((B26&lt;Inputs!$B$7),0,((B26-Inputs!$B$7)+0)))</f>
        <v>3</v>
      </c>
      <c r="B26" s="7">
        <v>2028</v>
      </c>
      <c r="C26" s="312"/>
      <c r="D26" s="302">
        <f t="shared" si="2"/>
        <v>0</v>
      </c>
      <c r="E26" s="309">
        <f t="shared" si="3"/>
        <v>0</v>
      </c>
    </row>
    <row r="27" spans="1:5">
      <c r="A27" s="333">
        <f>IF((B27&gt;(Inputs!$B$7+Inputs!$B$8-0)),0,IF((B27&lt;Inputs!$B$7),0,((B27-Inputs!$B$7)+0)))</f>
        <v>4</v>
      </c>
      <c r="B27" s="7">
        <v>2029</v>
      </c>
      <c r="C27" s="312"/>
      <c r="D27" s="302">
        <f t="shared" si="2"/>
        <v>0</v>
      </c>
      <c r="E27" s="309">
        <f t="shared" si="3"/>
        <v>0</v>
      </c>
    </row>
    <row r="28" spans="1:5">
      <c r="A28" s="333">
        <f>IF((B28&gt;(Inputs!$B$7+Inputs!$B$8-0)),0,IF((B28&lt;Inputs!$B$7),0,((B28-Inputs!$B$7)+0)))</f>
        <v>5</v>
      </c>
      <c r="B28" s="7">
        <v>2030</v>
      </c>
      <c r="C28" s="312"/>
      <c r="D28" s="302">
        <f t="shared" si="2"/>
        <v>0</v>
      </c>
      <c r="E28" s="309">
        <f t="shared" si="3"/>
        <v>0</v>
      </c>
    </row>
    <row r="29" spans="1:5">
      <c r="A29" s="333">
        <f>IF((B29&gt;(Inputs!$B$7+Inputs!$B$8-0)),0,IF((B29&lt;Inputs!$B$7),0,((B29-Inputs!$B$7)+0)))</f>
        <v>6</v>
      </c>
      <c r="B29" s="7">
        <v>2031</v>
      </c>
      <c r="C29" s="312"/>
      <c r="D29" s="302">
        <f t="shared" si="2"/>
        <v>0</v>
      </c>
      <c r="E29" s="309">
        <f t="shared" si="3"/>
        <v>0</v>
      </c>
    </row>
    <row r="30" spans="1:5">
      <c r="A30" s="333">
        <f>IF((B30&gt;(Inputs!$B$7+Inputs!$B$8-0)),0,IF((B30&lt;Inputs!$B$7),0,((B30-Inputs!$B$7)+0)))</f>
        <v>7</v>
      </c>
      <c r="B30" s="7">
        <v>2032</v>
      </c>
      <c r="C30" s="312"/>
      <c r="D30" s="302">
        <f t="shared" si="2"/>
        <v>0</v>
      </c>
      <c r="E30" s="309">
        <f t="shared" si="3"/>
        <v>0</v>
      </c>
    </row>
    <row r="31" spans="1:5">
      <c r="A31" s="333">
        <f>IF((B31&gt;(Inputs!$B$7+Inputs!$B$8-0)),0,IF((B31&lt;Inputs!$B$7),0,((B31-Inputs!$B$7)+0)))</f>
        <v>8</v>
      </c>
      <c r="B31" s="7">
        <v>2033</v>
      </c>
      <c r="C31" s="312"/>
      <c r="D31" s="302">
        <f t="shared" si="2"/>
        <v>0</v>
      </c>
      <c r="E31" s="309">
        <f t="shared" si="3"/>
        <v>0</v>
      </c>
    </row>
    <row r="32" spans="1:5">
      <c r="A32" s="333">
        <f>IF((B32&gt;(Inputs!$B$7+Inputs!$B$8-0)),0,IF((B32&lt;Inputs!$B$7),0,((B32-Inputs!$B$7)+0)))</f>
        <v>9</v>
      </c>
      <c r="B32" s="7">
        <v>2034</v>
      </c>
      <c r="C32" s="312"/>
      <c r="D32" s="302">
        <f t="shared" si="2"/>
        <v>0</v>
      </c>
      <c r="E32" s="309">
        <f t="shared" si="3"/>
        <v>0</v>
      </c>
    </row>
    <row r="33" spans="1:6">
      <c r="A33" s="333">
        <f>IF((B33&gt;(Inputs!$B$7+Inputs!$B$8-0)),0,IF((B33&lt;Inputs!$B$7),0,((B33-Inputs!$B$7)+0)))</f>
        <v>10</v>
      </c>
      <c r="B33" s="7">
        <v>2035</v>
      </c>
      <c r="C33" s="312"/>
      <c r="D33" s="302">
        <f t="shared" si="2"/>
        <v>0</v>
      </c>
      <c r="E33" s="309">
        <f t="shared" si="3"/>
        <v>0</v>
      </c>
    </row>
    <row r="34" spans="1:6">
      <c r="A34" s="333">
        <f>IF((B34&gt;(Inputs!$B$7+Inputs!$B$8-0)),0,IF((B34&lt;Inputs!$B$7),0,((B34-Inputs!$B$7)+0)))</f>
        <v>11</v>
      </c>
      <c r="B34" s="7">
        <v>2036</v>
      </c>
      <c r="C34" s="312">
        <f>C$8</f>
        <v>5353880.0705467369</v>
      </c>
      <c r="D34" s="302">
        <f t="shared" si="2"/>
        <v>1813544</v>
      </c>
      <c r="E34" s="309">
        <f t="shared" si="3"/>
        <v>3336361</v>
      </c>
      <c r="F34" s="64" t="s">
        <v>466</v>
      </c>
    </row>
    <row r="35" spans="1:6">
      <c r="A35" s="333">
        <f>IF((B35&gt;(Inputs!$B$7+Inputs!$B$8-0)),0,IF((B35&lt;Inputs!$B$7),0,((B35-Inputs!$B$7)+0)))</f>
        <v>12</v>
      </c>
      <c r="B35" s="7">
        <v>2037</v>
      </c>
      <c r="C35" s="312"/>
      <c r="D35" s="302">
        <f t="shared" si="2"/>
        <v>0</v>
      </c>
      <c r="E35" s="309">
        <f t="shared" si="3"/>
        <v>0</v>
      </c>
    </row>
    <row r="36" spans="1:6">
      <c r="A36" s="333">
        <f>IF((B36&gt;(Inputs!$B$7+Inputs!$B$8-0)),0,IF((B36&lt;Inputs!$B$7),0,((B36-Inputs!$B$7)+0)))</f>
        <v>13</v>
      </c>
      <c r="B36" s="7">
        <v>2038</v>
      </c>
      <c r="C36" s="312"/>
      <c r="D36" s="302">
        <f t="shared" si="2"/>
        <v>0</v>
      </c>
      <c r="E36" s="309">
        <f t="shared" si="3"/>
        <v>0</v>
      </c>
    </row>
    <row r="37" spans="1:6">
      <c r="A37" s="333">
        <f>IF((B37&gt;(Inputs!$B$7+Inputs!$B$8-0)),0,IF((B37&lt;Inputs!$B$7),0,((B37-Inputs!$B$7)+0)))</f>
        <v>14</v>
      </c>
      <c r="B37" s="7">
        <v>2039</v>
      </c>
      <c r="C37" s="312"/>
      <c r="D37" s="302">
        <f t="shared" si="2"/>
        <v>0</v>
      </c>
      <c r="E37" s="309">
        <f t="shared" si="3"/>
        <v>0</v>
      </c>
    </row>
    <row r="38" spans="1:6">
      <c r="A38" s="333">
        <f>IF((B38&gt;(Inputs!$B$7+Inputs!$B$8-0)),0,IF((B38&lt;Inputs!$B$7),0,((B38-Inputs!$B$7)+0)))</f>
        <v>15</v>
      </c>
      <c r="B38" s="7">
        <v>2040</v>
      </c>
      <c r="C38" s="312"/>
      <c r="D38" s="302">
        <f t="shared" si="2"/>
        <v>0</v>
      </c>
      <c r="E38" s="309">
        <f t="shared" si="3"/>
        <v>0</v>
      </c>
    </row>
    <row r="39" spans="1:6">
      <c r="A39" s="333">
        <f>IF((B39&gt;(Inputs!$B$7+Inputs!$B$8-0)),0,IF((B39&lt;Inputs!$B$7),0,((B39-Inputs!$B$7)+0)))</f>
        <v>16</v>
      </c>
      <c r="B39" s="101">
        <v>2041</v>
      </c>
      <c r="C39" s="312"/>
      <c r="D39" s="302">
        <f t="shared" si="2"/>
        <v>0</v>
      </c>
      <c r="E39" s="309">
        <f t="shared" si="3"/>
        <v>0</v>
      </c>
    </row>
    <row r="40" spans="1:6">
      <c r="A40" s="333">
        <f>IF((B40&gt;(Inputs!$B$7+Inputs!$B$8-0)),0,IF((B40&lt;Inputs!$B$7),0,((B40-Inputs!$B$7)+0)))</f>
        <v>17</v>
      </c>
      <c r="B40" s="7">
        <v>2042</v>
      </c>
      <c r="C40" s="312"/>
      <c r="D40" s="302">
        <f t="shared" si="2"/>
        <v>0</v>
      </c>
      <c r="E40" s="309">
        <f t="shared" si="3"/>
        <v>0</v>
      </c>
    </row>
    <row r="41" spans="1:6">
      <c r="A41" s="333">
        <f>IF((B41&gt;(Inputs!$B$7+Inputs!$B$8-0)),0,IF((B41&lt;Inputs!$B$7),0,((B41-Inputs!$B$7)+0)))</f>
        <v>18</v>
      </c>
      <c r="B41" s="7">
        <v>2043</v>
      </c>
      <c r="C41" s="312"/>
      <c r="D41" s="302">
        <f t="shared" si="2"/>
        <v>0</v>
      </c>
      <c r="E41" s="309">
        <f t="shared" si="3"/>
        <v>0</v>
      </c>
    </row>
    <row r="42" spans="1:6">
      <c r="A42" s="333">
        <f>IF((B42&gt;(Inputs!$B$7+Inputs!$B$8-0)),0,IF((B42&lt;Inputs!$B$7),0,((B42-Inputs!$B$7)+0)))</f>
        <v>19</v>
      </c>
      <c r="B42" s="7">
        <v>2044</v>
      </c>
      <c r="C42" s="312"/>
      <c r="D42" s="302">
        <f t="shared" si="2"/>
        <v>0</v>
      </c>
      <c r="E42" s="309">
        <f t="shared" si="3"/>
        <v>0</v>
      </c>
    </row>
    <row r="43" spans="1:6">
      <c r="A43" s="333">
        <f>IF((B43&gt;(Inputs!$B$7+Inputs!$B$8-0)),0,IF((B43&lt;Inputs!$B$7),0,((B43-Inputs!$B$7)+0)))</f>
        <v>20</v>
      </c>
      <c r="B43" s="7">
        <v>2045</v>
      </c>
      <c r="C43" s="312"/>
      <c r="D43" s="302">
        <f t="shared" si="2"/>
        <v>0</v>
      </c>
      <c r="E43" s="309">
        <f t="shared" si="3"/>
        <v>0</v>
      </c>
    </row>
    <row r="44" spans="1:6">
      <c r="A44" s="333">
        <f>IF((B44&gt;(Inputs!$B$7+Inputs!$B$8-0)),0,IF((B44&lt;Inputs!$B$7),0,((B44-Inputs!$B$7)+0)))</f>
        <v>21</v>
      </c>
      <c r="B44" s="7">
        <v>2046</v>
      </c>
      <c r="C44" s="312">
        <f>C$8</f>
        <v>5353880.0705467369</v>
      </c>
      <c r="D44" s="302">
        <f t="shared" si="2"/>
        <v>921914</v>
      </c>
      <c r="E44" s="309">
        <f t="shared" si="3"/>
        <v>2482566</v>
      </c>
      <c r="F44" s="64" t="s">
        <v>466</v>
      </c>
    </row>
    <row r="45" spans="1:6">
      <c r="A45" s="333">
        <f>IF((B45&gt;(Inputs!$B$7+Inputs!$B$8-0)),0,IF((B45&lt;Inputs!$B$7),0,((B45-Inputs!$B$7)+0)))</f>
        <v>22</v>
      </c>
      <c r="B45" s="7">
        <v>2047</v>
      </c>
      <c r="C45" s="312"/>
      <c r="D45" s="302">
        <f t="shared" si="2"/>
        <v>0</v>
      </c>
      <c r="E45" s="309">
        <f t="shared" si="3"/>
        <v>0</v>
      </c>
    </row>
    <row r="46" spans="1:6">
      <c r="A46" s="333">
        <f>IF((B46&gt;(Inputs!$B$7+Inputs!$B$8-0)),0,IF((B46&lt;Inputs!$B$7),0,((B46-Inputs!$B$7)+0)))</f>
        <v>23</v>
      </c>
      <c r="B46" s="7">
        <v>2048</v>
      </c>
      <c r="C46" s="312"/>
      <c r="D46" s="302">
        <f t="shared" si="2"/>
        <v>0</v>
      </c>
      <c r="E46" s="309">
        <f t="shared" si="3"/>
        <v>0</v>
      </c>
    </row>
    <row r="47" spans="1:6">
      <c r="A47" s="333">
        <f>IF((B47&gt;(Inputs!$B$7+Inputs!$B$8-0)),0,IF((B47&lt;Inputs!$B$7),0,((B47-Inputs!$B$7)+0)))</f>
        <v>24</v>
      </c>
      <c r="B47" s="7">
        <v>2049</v>
      </c>
      <c r="C47" s="312"/>
      <c r="D47" s="302">
        <f t="shared" si="2"/>
        <v>0</v>
      </c>
      <c r="E47" s="309">
        <f t="shared" si="3"/>
        <v>0</v>
      </c>
    </row>
    <row r="48" spans="1:6">
      <c r="A48" s="333">
        <f>IF((B48&gt;(Inputs!$B$7+Inputs!$B$8-0)),0,IF((B48&lt;Inputs!$B$7),0,((B48-Inputs!$B$7)+0)))</f>
        <v>25</v>
      </c>
      <c r="B48" s="7">
        <v>2050</v>
      </c>
      <c r="C48" s="312"/>
      <c r="D48" s="302">
        <f t="shared" si="2"/>
        <v>0</v>
      </c>
      <c r="E48" s="309">
        <f t="shared" si="3"/>
        <v>0</v>
      </c>
    </row>
    <row r="49" spans="1:5">
      <c r="A49" s="333">
        <f>IF((B49&gt;(Inputs!$B$7+Inputs!$B$8-0)),0,IF((B49&lt;Inputs!$B$7),0,((B49-Inputs!$B$7)+0)))</f>
        <v>26</v>
      </c>
      <c r="B49" s="7">
        <v>2051</v>
      </c>
      <c r="C49" s="312"/>
      <c r="D49" s="302">
        <f t="shared" si="2"/>
        <v>0</v>
      </c>
      <c r="E49" s="309">
        <f t="shared" si="3"/>
        <v>0</v>
      </c>
    </row>
    <row r="50" spans="1:5">
      <c r="A50" s="333">
        <f>IF((B50&gt;(Inputs!$B$7+Inputs!$B$8-0)),0,IF((B50&lt;Inputs!$B$7),0,((B50-Inputs!$B$7)+0)))</f>
        <v>27</v>
      </c>
      <c r="B50" s="7">
        <v>2052</v>
      </c>
      <c r="C50" s="312"/>
      <c r="D50" s="302">
        <f t="shared" si="2"/>
        <v>0</v>
      </c>
      <c r="E50" s="309">
        <f t="shared" si="3"/>
        <v>0</v>
      </c>
    </row>
    <row r="51" spans="1:5">
      <c r="A51" s="333">
        <f>IF((B51&gt;(Inputs!$B$7+Inputs!$B$8-0)),0,IF((B51&lt;Inputs!$B$7),0,((B51-Inputs!$B$7)+0)))</f>
        <v>28</v>
      </c>
      <c r="B51" s="7">
        <v>2053</v>
      </c>
      <c r="C51" s="312"/>
      <c r="D51" s="302">
        <f t="shared" si="2"/>
        <v>0</v>
      </c>
      <c r="E51" s="309">
        <f t="shared" si="3"/>
        <v>0</v>
      </c>
    </row>
    <row r="52" spans="1:5">
      <c r="A52" s="333">
        <f>IF((B52&gt;(Inputs!$B$7+Inputs!$B$8-0)),0,IF((B52&lt;Inputs!$B$7),0,((B52-Inputs!$B$7)+0)))</f>
        <v>29</v>
      </c>
      <c r="B52" s="7">
        <v>2054</v>
      </c>
      <c r="C52" s="312"/>
      <c r="D52" s="302">
        <f t="shared" si="2"/>
        <v>0</v>
      </c>
      <c r="E52" s="309">
        <f t="shared" si="3"/>
        <v>0</v>
      </c>
    </row>
    <row r="53" spans="1:5">
      <c r="A53" s="333">
        <f>IF((B53&gt;(Inputs!$B$7+Inputs!$B$8-0)),0,IF((B53&lt;Inputs!$B$7),0,((B53-Inputs!$B$7)+0)))</f>
        <v>30</v>
      </c>
      <c r="B53" s="7">
        <v>2055</v>
      </c>
      <c r="C53" s="312"/>
      <c r="D53" s="302">
        <f t="shared" si="2"/>
        <v>0</v>
      </c>
      <c r="E53" s="309">
        <f t="shared" si="3"/>
        <v>0</v>
      </c>
    </row>
    <row r="54" spans="1:5">
      <c r="A54" s="333">
        <f>IF((B54&gt;(Inputs!$B$7+Inputs!$B$8-0)),0,IF((B54&lt;Inputs!$B$7),0,((B54-Inputs!$B$7)+0)))</f>
        <v>0</v>
      </c>
      <c r="B54" s="7">
        <v>2056</v>
      </c>
      <c r="C54" s="312"/>
      <c r="D54" s="302">
        <f t="shared" si="2"/>
        <v>0</v>
      </c>
      <c r="E54" s="309">
        <f t="shared" si="3"/>
        <v>0</v>
      </c>
    </row>
    <row r="55" spans="1:5">
      <c r="A55" s="333">
        <f>IF((B55&gt;(Inputs!$B$7+Inputs!$B$8-0)),0,IF((B55&lt;Inputs!$B$7),0,((B55-Inputs!$B$7)+0)))</f>
        <v>0</v>
      </c>
      <c r="B55" s="7">
        <v>2057</v>
      </c>
      <c r="C55" s="312"/>
      <c r="D55" s="302">
        <f t="shared" si="2"/>
        <v>0</v>
      </c>
      <c r="E55" s="309">
        <f t="shared" si="3"/>
        <v>0</v>
      </c>
    </row>
    <row r="56" spans="1:5">
      <c r="A56" s="333">
        <f>IF((B56&gt;(Inputs!$B$7+Inputs!$B$8-0)),0,IF((B56&lt;Inputs!$B$7),0,((B56-Inputs!$B$7)+0)))</f>
        <v>0</v>
      </c>
      <c r="B56" s="7">
        <v>2058</v>
      </c>
      <c r="C56" s="312"/>
      <c r="D56" s="302">
        <f t="shared" si="2"/>
        <v>0</v>
      </c>
      <c r="E56" s="309">
        <f t="shared" si="3"/>
        <v>0</v>
      </c>
    </row>
    <row r="57" spans="1:5">
      <c r="A57" s="333">
        <f>IF((B57&gt;(Inputs!$B$7+Inputs!$B$8-0)),0,IF((B57&lt;Inputs!$B$7),0,((B57-Inputs!$B$7)+0)))</f>
        <v>0</v>
      </c>
      <c r="B57" s="7">
        <v>2059</v>
      </c>
      <c r="C57" s="312"/>
      <c r="D57" s="302">
        <f t="shared" si="2"/>
        <v>0</v>
      </c>
      <c r="E57" s="309">
        <f t="shared" si="3"/>
        <v>0</v>
      </c>
    </row>
    <row r="58" spans="1:5" ht="15.75" thickBot="1">
      <c r="A58" s="64">
        <f>IF((B58&gt;(Inputs!$B$7+Inputs!$B$8-0)),0,IF((B58&lt;Inputs!$B$7),0,((B58-Inputs!$B$7)+0)))</f>
        <v>0</v>
      </c>
      <c r="B58" s="7">
        <v>2060</v>
      </c>
      <c r="C58" s="313"/>
      <c r="D58" s="314">
        <f t="shared" si="2"/>
        <v>0</v>
      </c>
      <c r="E58" s="315">
        <f t="shared" si="3"/>
        <v>0</v>
      </c>
    </row>
    <row r="59" spans="1:5">
      <c r="C59" s="134"/>
      <c r="D59" s="134"/>
      <c r="E59" s="134"/>
    </row>
    <row r="60" spans="1:5">
      <c r="C60" s="135">
        <f t="shared" ref="C60:E60" si="4">SUM(C15:C58)</f>
        <v>149571708.64109349</v>
      </c>
      <c r="D60" s="135">
        <f t="shared" si="4"/>
        <v>109928675</v>
      </c>
      <c r="E60" s="135">
        <f t="shared" si="4"/>
        <v>129727697</v>
      </c>
    </row>
  </sheetData>
  <mergeCells count="4">
    <mergeCell ref="A2:B2"/>
    <mergeCell ref="A8:B8"/>
    <mergeCell ref="A9:B9"/>
    <mergeCell ref="C1:E1"/>
  </mergeCells>
  <phoneticPr fontId="66" type="noConversion"/>
  <pageMargins left="0.7" right="0.7" top="0.75" bottom="0.75" header="0.3" footer="0.3"/>
  <pageSetup paperSize="35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6" tint="-0.249977111117893"/>
  </sheetPr>
  <dimension ref="A1:F57"/>
  <sheetViews>
    <sheetView workbookViewId="0"/>
  </sheetViews>
  <sheetFormatPr defaultColWidth="8.85546875" defaultRowHeight="15"/>
  <cols>
    <col min="1" max="1" width="7.42578125" style="64" customWidth="1"/>
    <col min="2" max="2" width="27.28515625" style="64" customWidth="1"/>
    <col min="3" max="3" width="14.7109375" style="64" bestFit="1" customWidth="1"/>
    <col min="4" max="5" width="12.5703125" style="64" bestFit="1" customWidth="1"/>
    <col min="6" max="16384" width="8.85546875" style="64"/>
  </cols>
  <sheetData>
    <row r="1" spans="1:5">
      <c r="A1" s="205"/>
    </row>
    <row r="2" spans="1:5">
      <c r="A2" s="16" t="s">
        <v>452</v>
      </c>
    </row>
    <row r="3" spans="1:5">
      <c r="A3" s="16"/>
      <c r="C3" s="704" t="s">
        <v>486</v>
      </c>
      <c r="D3" s="704"/>
      <c r="E3" s="704"/>
    </row>
    <row r="4" spans="1:5">
      <c r="A4" s="64" t="s">
        <v>453</v>
      </c>
      <c r="C4" s="213">
        <f>Costs_Summary!D23</f>
        <v>175000</v>
      </c>
    </row>
    <row r="5" spans="1:5">
      <c r="A5" s="64" t="s">
        <v>454</v>
      </c>
      <c r="C5" s="213">
        <f>Costs_Summary!D24</f>
        <v>214525.447042641</v>
      </c>
    </row>
    <row r="6" spans="1:5">
      <c r="A6" s="64" t="s">
        <v>455</v>
      </c>
      <c r="C6" s="213">
        <f>C4-C5</f>
        <v>-39525.447042640997</v>
      </c>
    </row>
    <row r="7" spans="1:5">
      <c r="C7" s="216"/>
    </row>
    <row r="8" spans="1:5">
      <c r="A8" s="675" t="s">
        <v>468</v>
      </c>
      <c r="B8" s="703"/>
      <c r="C8" s="213">
        <f>Costs_Summary!D19</f>
        <v>3493959.4356261017</v>
      </c>
    </row>
    <row r="10" spans="1:5">
      <c r="B10" s="64" t="s">
        <v>4</v>
      </c>
      <c r="C10" s="64">
        <f>Inputs!$B$10</f>
        <v>2020</v>
      </c>
    </row>
    <row r="11" spans="1:5" ht="15.75" thickBot="1">
      <c r="A11" s="333"/>
      <c r="D11" s="18">
        <f>Inputs!$B$3</f>
        <v>7.0000000000000007E-2</v>
      </c>
      <c r="E11" s="18">
        <f>Inputs!$B$4</f>
        <v>0.03</v>
      </c>
    </row>
    <row r="12" spans="1:5" ht="30">
      <c r="A12" s="75" t="s">
        <v>147</v>
      </c>
      <c r="B12" s="16" t="s">
        <v>0</v>
      </c>
      <c r="C12" s="320" t="s">
        <v>106</v>
      </c>
      <c r="D12" s="321" t="s">
        <v>107</v>
      </c>
      <c r="E12" s="322" t="s">
        <v>108</v>
      </c>
    </row>
    <row r="13" spans="1:5">
      <c r="A13" s="333">
        <f>IF((B13&gt;(Inputs!$B$7+Inputs!$B$8-0)),0,IF((B13&lt;Inputs!$B$7),0,((B13-Inputs!$B$7)+0)))</f>
        <v>0</v>
      </c>
      <c r="B13" s="255">
        <v>2018</v>
      </c>
      <c r="C13" s="323">
        <f t="shared" ref="C13:C29" si="0">IF(($A13&gt;0),C$6,0)</f>
        <v>0</v>
      </c>
      <c r="D13" s="65"/>
      <c r="E13" s="143"/>
    </row>
    <row r="14" spans="1:5">
      <c r="A14" s="333">
        <f>IF((B14&gt;(Inputs!$B$7+Inputs!$B$8-0)),0,IF((B14&lt;Inputs!$B$7),0,((B14-Inputs!$B$7)+0)))</f>
        <v>0</v>
      </c>
      <c r="B14" s="255">
        <v>2019</v>
      </c>
      <c r="C14" s="323">
        <f t="shared" si="0"/>
        <v>0</v>
      </c>
      <c r="D14" s="65"/>
      <c r="E14" s="143"/>
    </row>
    <row r="15" spans="1:5">
      <c r="A15" s="333">
        <f>IF((B15&gt;(Inputs!$B$7+Inputs!$B$8-0)),0,IF((B15&lt;Inputs!$B$7),0,((B15-Inputs!$B$7)+0)))</f>
        <v>0</v>
      </c>
      <c r="B15" s="255">
        <v>2020</v>
      </c>
      <c r="C15" s="323">
        <f t="shared" si="0"/>
        <v>0</v>
      </c>
      <c r="D15" s="318"/>
      <c r="E15" s="324"/>
    </row>
    <row r="16" spans="1:5">
      <c r="A16" s="333">
        <f>IF((B16&gt;(Inputs!$B$7+Inputs!$B$8-0)),0,IF((B16&lt;Inputs!$B$7),0,((B16-Inputs!$B$7)+0)))</f>
        <v>0</v>
      </c>
      <c r="B16" s="255">
        <v>2021</v>
      </c>
      <c r="C16" s="323">
        <f t="shared" si="0"/>
        <v>0</v>
      </c>
      <c r="D16" s="318"/>
      <c r="E16" s="324"/>
    </row>
    <row r="17" spans="1:6">
      <c r="A17" s="333">
        <f>IF((B17&gt;(Inputs!$B$7+Inputs!$B$8-0)),0,IF((B17&lt;Inputs!$B$7),0,((B17-Inputs!$B$7)+0)))</f>
        <v>0</v>
      </c>
      <c r="B17" s="255">
        <v>2022</v>
      </c>
      <c r="C17" s="323">
        <f t="shared" si="0"/>
        <v>0</v>
      </c>
      <c r="D17" s="318"/>
      <c r="E17" s="324"/>
    </row>
    <row r="18" spans="1:6">
      <c r="A18" s="333">
        <f>IF((B18&gt;(Inputs!$B$7+Inputs!$B$8-0)),0,IF((B18&lt;Inputs!$B$7),0,((B18-Inputs!$B$7)+0)))</f>
        <v>0</v>
      </c>
      <c r="B18" s="255">
        <v>2023</v>
      </c>
      <c r="C18" s="323">
        <f t="shared" si="0"/>
        <v>0</v>
      </c>
      <c r="D18" s="319">
        <f>ROUND(C18/((1+D$11)^($B18-C$10)),0)</f>
        <v>0</v>
      </c>
      <c r="E18" s="325">
        <f>ROUND(C18/((1+E$11)^($B18-C$10)),0)</f>
        <v>0</v>
      </c>
    </row>
    <row r="19" spans="1:6">
      <c r="A19" s="333">
        <f>IF((B19&gt;(Inputs!$B$7+Inputs!$B$8-0)),0,IF((B19&lt;Inputs!$B$7),0,((B19-Inputs!$B$7)+0)))</f>
        <v>0</v>
      </c>
      <c r="B19" s="255">
        <v>2024</v>
      </c>
      <c r="C19" s="323">
        <f t="shared" si="0"/>
        <v>0</v>
      </c>
      <c r="D19" s="319">
        <f t="shared" ref="D19:D55" si="1">ROUND(C19/((1+D$11)^($B19-C$10)),0)</f>
        <v>0</v>
      </c>
      <c r="E19" s="325">
        <f t="shared" ref="E19:E55" si="2">ROUND(C19/((1+E$11)^($B19-C$10)),0)</f>
        <v>0</v>
      </c>
    </row>
    <row r="20" spans="1:6">
      <c r="A20" s="333">
        <f>IF((B20&gt;(Inputs!$B$7+Inputs!$B$8-0)),0,IF((B20&lt;Inputs!$B$7),0,((B20-Inputs!$B$7)+0)))</f>
        <v>0</v>
      </c>
      <c r="B20" s="255">
        <v>2025</v>
      </c>
      <c r="C20" s="323">
        <f>C8+C6</f>
        <v>3454433.9885834605</v>
      </c>
      <c r="D20" s="319">
        <f t="shared" si="1"/>
        <v>2462964</v>
      </c>
      <c r="E20" s="325">
        <f t="shared" si="2"/>
        <v>2979825</v>
      </c>
      <c r="F20" s="64" t="s">
        <v>825</v>
      </c>
    </row>
    <row r="21" spans="1:6">
      <c r="A21" s="333">
        <f>IF((B21&gt;(Inputs!$B$7+Inputs!$B$8-0)),0,IF((B21&lt;Inputs!$B$7),0,((B21-Inputs!$B$7)+0)))</f>
        <v>1</v>
      </c>
      <c r="B21" s="255">
        <v>2026</v>
      </c>
      <c r="C21" s="323">
        <f t="shared" si="0"/>
        <v>-39525.447042640997</v>
      </c>
      <c r="D21" s="319">
        <f t="shared" si="1"/>
        <v>-26337</v>
      </c>
      <c r="E21" s="325">
        <f t="shared" si="2"/>
        <v>-33102</v>
      </c>
    </row>
    <row r="22" spans="1:6">
      <c r="A22" s="333">
        <f>IF((B22&gt;(Inputs!$B$7+Inputs!$B$8-0)),0,IF((B22&lt;Inputs!$B$7),0,((B22-Inputs!$B$7)+0)))</f>
        <v>2</v>
      </c>
      <c r="B22" s="255">
        <v>2027</v>
      </c>
      <c r="C22" s="323">
        <f t="shared" si="0"/>
        <v>-39525.447042640997</v>
      </c>
      <c r="D22" s="319">
        <f t="shared" si="1"/>
        <v>-24614</v>
      </c>
      <c r="E22" s="325">
        <f t="shared" si="2"/>
        <v>-32138</v>
      </c>
    </row>
    <row r="23" spans="1:6">
      <c r="A23" s="333">
        <f>IF((B23&gt;(Inputs!$B$7+Inputs!$B$8-0)),0,IF((B23&lt;Inputs!$B$7),0,((B23-Inputs!$B$7)+0)))</f>
        <v>3</v>
      </c>
      <c r="B23" s="255">
        <v>2028</v>
      </c>
      <c r="C23" s="323">
        <f t="shared" si="0"/>
        <v>-39525.447042640997</v>
      </c>
      <c r="D23" s="319">
        <f t="shared" si="1"/>
        <v>-23004</v>
      </c>
      <c r="E23" s="325">
        <f t="shared" si="2"/>
        <v>-31202</v>
      </c>
    </row>
    <row r="24" spans="1:6">
      <c r="A24" s="333">
        <f>IF((B24&gt;(Inputs!$B$7+Inputs!$B$8-0)),0,IF((B24&lt;Inputs!$B$7),0,((B24-Inputs!$B$7)+0)))</f>
        <v>4</v>
      </c>
      <c r="B24" s="255">
        <v>2029</v>
      </c>
      <c r="C24" s="323">
        <f t="shared" si="0"/>
        <v>-39525.447042640997</v>
      </c>
      <c r="D24" s="319">
        <f t="shared" si="1"/>
        <v>-21499</v>
      </c>
      <c r="E24" s="325">
        <f t="shared" si="2"/>
        <v>-30293</v>
      </c>
    </row>
    <row r="25" spans="1:6">
      <c r="A25" s="333">
        <f>IF((B25&gt;(Inputs!$B$7+Inputs!$B$8-0)),0,IF((B25&lt;Inputs!$B$7),0,((B25-Inputs!$B$7)+0)))</f>
        <v>5</v>
      </c>
      <c r="B25" s="255">
        <v>2030</v>
      </c>
      <c r="C25" s="323">
        <f t="shared" si="0"/>
        <v>-39525.447042640997</v>
      </c>
      <c r="D25" s="319">
        <f t="shared" si="1"/>
        <v>-20093</v>
      </c>
      <c r="E25" s="325">
        <f t="shared" si="2"/>
        <v>-29411</v>
      </c>
    </row>
    <row r="26" spans="1:6">
      <c r="A26" s="333">
        <f>IF((B26&gt;(Inputs!$B$7+Inputs!$B$8-0)),0,IF((B26&lt;Inputs!$B$7),0,((B26-Inputs!$B$7)+0)))</f>
        <v>6</v>
      </c>
      <c r="B26" s="255">
        <v>2031</v>
      </c>
      <c r="C26" s="323">
        <f t="shared" si="0"/>
        <v>-39525.447042640997</v>
      </c>
      <c r="D26" s="319">
        <f t="shared" si="1"/>
        <v>-18778</v>
      </c>
      <c r="E26" s="325">
        <f t="shared" si="2"/>
        <v>-28554</v>
      </c>
    </row>
    <row r="27" spans="1:6">
      <c r="A27" s="333">
        <f>IF((B27&gt;(Inputs!$B$7+Inputs!$B$8-0)),0,IF((B27&lt;Inputs!$B$7),0,((B27-Inputs!$B$7)+0)))</f>
        <v>7</v>
      </c>
      <c r="B27" s="255">
        <v>2032</v>
      </c>
      <c r="C27" s="323">
        <f t="shared" si="0"/>
        <v>-39525.447042640997</v>
      </c>
      <c r="D27" s="319">
        <f t="shared" si="1"/>
        <v>-17550</v>
      </c>
      <c r="E27" s="325">
        <f t="shared" si="2"/>
        <v>-27722</v>
      </c>
    </row>
    <row r="28" spans="1:6">
      <c r="A28" s="333">
        <f>IF((B28&gt;(Inputs!$B$7+Inputs!$B$8-0)),0,IF((B28&lt;Inputs!$B$7),0,((B28-Inputs!$B$7)+0)))</f>
        <v>8</v>
      </c>
      <c r="B28" s="255">
        <v>2033</v>
      </c>
      <c r="C28" s="323">
        <f t="shared" si="0"/>
        <v>-39525.447042640997</v>
      </c>
      <c r="D28" s="319">
        <f t="shared" si="1"/>
        <v>-16402</v>
      </c>
      <c r="E28" s="325">
        <f t="shared" si="2"/>
        <v>-26915</v>
      </c>
    </row>
    <row r="29" spans="1:6">
      <c r="A29" s="333">
        <f>IF((B29&gt;(Inputs!$B$7+Inputs!$B$8-0)),0,IF((B29&lt;Inputs!$B$7),0,((B29-Inputs!$B$7)+0)))</f>
        <v>9</v>
      </c>
      <c r="B29" s="255">
        <v>2034</v>
      </c>
      <c r="C29" s="323">
        <f t="shared" si="0"/>
        <v>-39525.447042640997</v>
      </c>
      <c r="D29" s="319">
        <f t="shared" si="1"/>
        <v>-15329</v>
      </c>
      <c r="E29" s="325">
        <f t="shared" si="2"/>
        <v>-26131</v>
      </c>
    </row>
    <row r="30" spans="1:6">
      <c r="A30" s="333">
        <f>IF((B30&gt;(Inputs!$B$7+Inputs!$B$8-0)),0,IF((B30&lt;Inputs!$B$7),0,((B30-Inputs!$B$7)+0)))</f>
        <v>10</v>
      </c>
      <c r="B30" s="255">
        <v>2035</v>
      </c>
      <c r="C30" s="323">
        <f>IF(($A30&gt;0),C$8+C$6,0)</f>
        <v>3454433.9885834605</v>
      </c>
      <c r="D30" s="319">
        <f t="shared" si="1"/>
        <v>1252046</v>
      </c>
      <c r="E30" s="325">
        <f t="shared" si="2"/>
        <v>2217270</v>
      </c>
      <c r="F30" s="64" t="s">
        <v>466</v>
      </c>
    </row>
    <row r="31" spans="1:6">
      <c r="A31" s="333">
        <f>IF((B31&gt;(Inputs!$B$7+Inputs!$B$8-0)),0,IF((B31&lt;Inputs!$B$7),0,((B31-Inputs!$B$7)+0)))</f>
        <v>11</v>
      </c>
      <c r="B31" s="255">
        <v>2036</v>
      </c>
      <c r="C31" s="323">
        <f t="shared" ref="C31:C39" si="3">IF(($A31&gt;0),C$6,0)</f>
        <v>-39525.447042640997</v>
      </c>
      <c r="D31" s="319">
        <f t="shared" si="1"/>
        <v>-13389</v>
      </c>
      <c r="E31" s="325">
        <f t="shared" si="2"/>
        <v>-24631</v>
      </c>
    </row>
    <row r="32" spans="1:6">
      <c r="A32" s="333">
        <f>IF((B32&gt;(Inputs!$B$7+Inputs!$B$8-0)),0,IF((B32&lt;Inputs!$B$7),0,((B32-Inputs!$B$7)+0)))</f>
        <v>12</v>
      </c>
      <c r="B32" s="255">
        <v>2037</v>
      </c>
      <c r="C32" s="323">
        <f t="shared" si="3"/>
        <v>-39525.447042640997</v>
      </c>
      <c r="D32" s="319">
        <f t="shared" si="1"/>
        <v>-12513</v>
      </c>
      <c r="E32" s="325">
        <f t="shared" si="2"/>
        <v>-23914</v>
      </c>
    </row>
    <row r="33" spans="1:6">
      <c r="A33" s="333">
        <f>IF((B33&gt;(Inputs!$B$7+Inputs!$B$8-0)),0,IF((B33&lt;Inputs!$B$7),0,((B33-Inputs!$B$7)+0)))</f>
        <v>13</v>
      </c>
      <c r="B33" s="255">
        <v>2038</v>
      </c>
      <c r="C33" s="323">
        <f t="shared" si="3"/>
        <v>-39525.447042640997</v>
      </c>
      <c r="D33" s="319">
        <f t="shared" si="1"/>
        <v>-11694</v>
      </c>
      <c r="E33" s="325">
        <f t="shared" si="2"/>
        <v>-23217</v>
      </c>
    </row>
    <row r="34" spans="1:6">
      <c r="A34" s="333">
        <f>IF((B34&gt;(Inputs!$B$7+Inputs!$B$8-0)),0,IF((B34&lt;Inputs!$B$7),0,((B34-Inputs!$B$7)+0)))</f>
        <v>14</v>
      </c>
      <c r="B34" s="255">
        <v>2039</v>
      </c>
      <c r="C34" s="323">
        <f t="shared" si="3"/>
        <v>-39525.447042640997</v>
      </c>
      <c r="D34" s="319">
        <f t="shared" si="1"/>
        <v>-10929</v>
      </c>
      <c r="E34" s="325">
        <f t="shared" si="2"/>
        <v>-22541</v>
      </c>
    </row>
    <row r="35" spans="1:6">
      <c r="A35" s="333">
        <f>IF((B35&gt;(Inputs!$B$7+Inputs!$B$8-0)),0,IF((B35&lt;Inputs!$B$7),0,((B35-Inputs!$B$7)+0)))</f>
        <v>15</v>
      </c>
      <c r="B35" s="255">
        <v>2040</v>
      </c>
      <c r="C35" s="323">
        <f t="shared" si="3"/>
        <v>-39525.447042640997</v>
      </c>
      <c r="D35" s="319">
        <f t="shared" si="1"/>
        <v>-10214</v>
      </c>
      <c r="E35" s="325">
        <f t="shared" si="2"/>
        <v>-21884</v>
      </c>
    </row>
    <row r="36" spans="1:6">
      <c r="A36" s="333">
        <f>IF((B36&gt;(Inputs!$B$7+Inputs!$B$8-0)),0,IF((B36&lt;Inputs!$B$7),0,((B36-Inputs!$B$7)+0)))</f>
        <v>16</v>
      </c>
      <c r="B36" s="255">
        <v>2041</v>
      </c>
      <c r="C36" s="323">
        <f t="shared" si="3"/>
        <v>-39525.447042640997</v>
      </c>
      <c r="D36" s="319">
        <f t="shared" si="1"/>
        <v>-9546</v>
      </c>
      <c r="E36" s="325">
        <f t="shared" si="2"/>
        <v>-21247</v>
      </c>
    </row>
    <row r="37" spans="1:6">
      <c r="A37" s="333">
        <f>IF((B37&gt;(Inputs!$B$7+Inputs!$B$8-0)),0,IF((B37&lt;Inputs!$B$7),0,((B37-Inputs!$B$7)+0)))</f>
        <v>17</v>
      </c>
      <c r="B37" s="317">
        <v>2042</v>
      </c>
      <c r="C37" s="323">
        <f t="shared" si="3"/>
        <v>-39525.447042640997</v>
      </c>
      <c r="D37" s="319">
        <f t="shared" si="1"/>
        <v>-8921</v>
      </c>
      <c r="E37" s="325">
        <f t="shared" si="2"/>
        <v>-20628</v>
      </c>
    </row>
    <row r="38" spans="1:6">
      <c r="A38" s="333">
        <f>IF((B38&gt;(Inputs!$B$7+Inputs!$B$8-0)),0,IF((B38&lt;Inputs!$B$7),0,((B38-Inputs!$B$7)+0)))</f>
        <v>18</v>
      </c>
      <c r="B38" s="255">
        <v>2043</v>
      </c>
      <c r="C38" s="323">
        <f t="shared" si="3"/>
        <v>-39525.447042640997</v>
      </c>
      <c r="D38" s="319">
        <f t="shared" si="1"/>
        <v>-8338</v>
      </c>
      <c r="E38" s="325">
        <f t="shared" si="2"/>
        <v>-20027</v>
      </c>
    </row>
    <row r="39" spans="1:6">
      <c r="A39" s="333">
        <f>IF((B39&gt;(Inputs!$B$7+Inputs!$B$8-0)),0,IF((B39&lt;Inputs!$B$7),0,((B39-Inputs!$B$7)+0)))</f>
        <v>19</v>
      </c>
      <c r="B39" s="255">
        <v>2044</v>
      </c>
      <c r="C39" s="323">
        <f t="shared" si="3"/>
        <v>-39525.447042640997</v>
      </c>
      <c r="D39" s="319">
        <f t="shared" si="1"/>
        <v>-7792</v>
      </c>
      <c r="E39" s="325">
        <f t="shared" si="2"/>
        <v>-19444</v>
      </c>
    </row>
    <row r="40" spans="1:6">
      <c r="A40" s="333">
        <f>IF((B40&gt;(Inputs!$B$7+Inputs!$B$8-0)),0,IF((B40&lt;Inputs!$B$7),0,((B40-Inputs!$B$7)+0)))</f>
        <v>20</v>
      </c>
      <c r="B40" s="255">
        <v>2045</v>
      </c>
      <c r="C40" s="323">
        <f>IF(($A40&gt;0),C$8+C$6,0)</f>
        <v>3454433.9885834605</v>
      </c>
      <c r="D40" s="319">
        <f t="shared" si="1"/>
        <v>636477</v>
      </c>
      <c r="E40" s="325">
        <f t="shared" si="2"/>
        <v>1649857</v>
      </c>
      <c r="F40" s="64" t="s">
        <v>466</v>
      </c>
    </row>
    <row r="41" spans="1:6">
      <c r="A41" s="333">
        <f>IF((B41&gt;(Inputs!$B$7+Inputs!$B$8-0)),0,IF((B41&lt;Inputs!$B$7),0,((B41-Inputs!$B$7)+0)))</f>
        <v>21</v>
      </c>
      <c r="B41" s="255">
        <v>2046</v>
      </c>
      <c r="C41" s="323">
        <f t="shared" ref="C41:C55" si="4">IF(($A41&gt;0),C$6,0)</f>
        <v>-39525.447042640997</v>
      </c>
      <c r="D41" s="319">
        <f t="shared" si="1"/>
        <v>-6806</v>
      </c>
      <c r="E41" s="325">
        <f t="shared" si="2"/>
        <v>-18328</v>
      </c>
    </row>
    <row r="42" spans="1:6">
      <c r="A42" s="333">
        <f>IF((B42&gt;(Inputs!$B$7+Inputs!$B$8-0)),0,IF((B42&lt;Inputs!$B$7),0,((B42-Inputs!$B$7)+0)))</f>
        <v>22</v>
      </c>
      <c r="B42" s="255">
        <v>2047</v>
      </c>
      <c r="C42" s="323">
        <f t="shared" si="4"/>
        <v>-39525.447042640997</v>
      </c>
      <c r="D42" s="319">
        <f t="shared" si="1"/>
        <v>-6361</v>
      </c>
      <c r="E42" s="325">
        <f t="shared" si="2"/>
        <v>-17794</v>
      </c>
    </row>
    <row r="43" spans="1:6">
      <c r="A43" s="333">
        <f>IF((B43&gt;(Inputs!$B$7+Inputs!$B$8-0)),0,IF((B43&lt;Inputs!$B$7),0,((B43-Inputs!$B$7)+0)))</f>
        <v>23</v>
      </c>
      <c r="B43" s="255">
        <v>2048</v>
      </c>
      <c r="C43" s="323">
        <f t="shared" si="4"/>
        <v>-39525.447042640997</v>
      </c>
      <c r="D43" s="319">
        <f t="shared" si="1"/>
        <v>-5945</v>
      </c>
      <c r="E43" s="325">
        <f t="shared" si="2"/>
        <v>-17276</v>
      </c>
    </row>
    <row r="44" spans="1:6">
      <c r="A44" s="333">
        <f>IF((B44&gt;(Inputs!$B$7+Inputs!$B$8-0)),0,IF((B44&lt;Inputs!$B$7),0,((B44-Inputs!$B$7)+0)))</f>
        <v>24</v>
      </c>
      <c r="B44" s="255">
        <v>2049</v>
      </c>
      <c r="C44" s="323">
        <f t="shared" si="4"/>
        <v>-39525.447042640997</v>
      </c>
      <c r="D44" s="319">
        <f t="shared" si="1"/>
        <v>-5556</v>
      </c>
      <c r="E44" s="325">
        <f t="shared" si="2"/>
        <v>-16772</v>
      </c>
    </row>
    <row r="45" spans="1:6">
      <c r="A45" s="333">
        <f>IF((B45&gt;(Inputs!$B$7+Inputs!$B$8-0)),0,IF((B45&lt;Inputs!$B$7),0,((B45-Inputs!$B$7)+0)))</f>
        <v>25</v>
      </c>
      <c r="B45" s="255">
        <v>2050</v>
      </c>
      <c r="C45" s="323">
        <f t="shared" si="4"/>
        <v>-39525.447042640997</v>
      </c>
      <c r="D45" s="319">
        <f t="shared" si="1"/>
        <v>-5192</v>
      </c>
      <c r="E45" s="325">
        <f t="shared" si="2"/>
        <v>-16284</v>
      </c>
    </row>
    <row r="46" spans="1:6">
      <c r="A46" s="333">
        <f>IF((B46&gt;(Inputs!$B$7+Inputs!$B$8-0)),0,IF((B46&lt;Inputs!$B$7),0,((B46-Inputs!$B$7)+0)))</f>
        <v>26</v>
      </c>
      <c r="B46" s="255">
        <v>2051</v>
      </c>
      <c r="C46" s="323">
        <f t="shared" si="4"/>
        <v>-39525.447042640997</v>
      </c>
      <c r="D46" s="319">
        <f t="shared" si="1"/>
        <v>-4853</v>
      </c>
      <c r="E46" s="325">
        <f t="shared" si="2"/>
        <v>-15810</v>
      </c>
    </row>
    <row r="47" spans="1:6">
      <c r="A47" s="333">
        <f>IF((B47&gt;(Inputs!$B$7+Inputs!$B$8-0)),0,IF((B47&lt;Inputs!$B$7),0,((B47-Inputs!$B$7)+0)))</f>
        <v>27</v>
      </c>
      <c r="B47" s="255">
        <v>2052</v>
      </c>
      <c r="C47" s="323">
        <f t="shared" si="4"/>
        <v>-39525.447042640997</v>
      </c>
      <c r="D47" s="319">
        <f t="shared" si="1"/>
        <v>-4535</v>
      </c>
      <c r="E47" s="325">
        <f t="shared" si="2"/>
        <v>-15349</v>
      </c>
    </row>
    <row r="48" spans="1:6">
      <c r="A48" s="333">
        <f>IF((B48&gt;(Inputs!$B$7+Inputs!$B$8-0)),0,IF((B48&lt;Inputs!$B$7),0,((B48-Inputs!$B$7)+0)))</f>
        <v>28</v>
      </c>
      <c r="B48" s="255">
        <v>2053</v>
      </c>
      <c r="C48" s="323">
        <f t="shared" si="4"/>
        <v>-39525.447042640997</v>
      </c>
      <c r="D48" s="319">
        <f t="shared" si="1"/>
        <v>-4238</v>
      </c>
      <c r="E48" s="325">
        <f t="shared" si="2"/>
        <v>-14902</v>
      </c>
    </row>
    <row r="49" spans="1:5">
      <c r="A49" s="333">
        <f>IF((B49&gt;(Inputs!$B$7+Inputs!$B$8-0)),0,IF((B49&lt;Inputs!$B$7),0,((B49-Inputs!$B$7)+0)))</f>
        <v>29</v>
      </c>
      <c r="B49" s="255">
        <v>2054</v>
      </c>
      <c r="C49" s="323">
        <f t="shared" si="4"/>
        <v>-39525.447042640997</v>
      </c>
      <c r="D49" s="319">
        <f t="shared" si="1"/>
        <v>-3961</v>
      </c>
      <c r="E49" s="325">
        <f t="shared" si="2"/>
        <v>-14468</v>
      </c>
    </row>
    <row r="50" spans="1:5">
      <c r="A50" s="333">
        <f>IF((B50&gt;(Inputs!$B$7+Inputs!$B$8-0)),0,IF((B50&lt;Inputs!$B$7),0,((B50-Inputs!$B$7)+0)))</f>
        <v>30</v>
      </c>
      <c r="B50" s="255">
        <v>2055</v>
      </c>
      <c r="C50" s="323">
        <f t="shared" si="4"/>
        <v>-39525.447042640997</v>
      </c>
      <c r="D50" s="319">
        <f t="shared" si="1"/>
        <v>-3702</v>
      </c>
      <c r="E50" s="325">
        <f t="shared" si="2"/>
        <v>-14047</v>
      </c>
    </row>
    <row r="51" spans="1:5">
      <c r="A51" s="333">
        <f>IF((B51&gt;(Inputs!$B$7+Inputs!$B$8-0)),0,IF((B51&lt;Inputs!$B$7),0,((B51-Inputs!$B$7)+0)))</f>
        <v>0</v>
      </c>
      <c r="B51" s="255">
        <v>2056</v>
      </c>
      <c r="C51" s="323">
        <f t="shared" si="4"/>
        <v>0</v>
      </c>
      <c r="D51" s="319">
        <f t="shared" si="1"/>
        <v>0</v>
      </c>
      <c r="E51" s="325">
        <f t="shared" si="2"/>
        <v>0</v>
      </c>
    </row>
    <row r="52" spans="1:5">
      <c r="A52" s="333">
        <f>IF((B52&gt;(Inputs!$B$7+Inputs!$B$8-0)),0,IF((B52&lt;Inputs!$B$7),0,((B52-Inputs!$B$7)+0)))</f>
        <v>0</v>
      </c>
      <c r="B52" s="255">
        <v>2057</v>
      </c>
      <c r="C52" s="323">
        <f t="shared" si="4"/>
        <v>0</v>
      </c>
      <c r="D52" s="319">
        <f t="shared" si="1"/>
        <v>0</v>
      </c>
      <c r="E52" s="325">
        <f t="shared" si="2"/>
        <v>0</v>
      </c>
    </row>
    <row r="53" spans="1:5">
      <c r="A53" s="333">
        <f>IF((B53&gt;(Inputs!$B$7+Inputs!$B$8-0)),0,IF((B53&lt;Inputs!$B$7),0,((B53-Inputs!$B$7)+0)))</f>
        <v>0</v>
      </c>
      <c r="B53" s="255">
        <v>2058</v>
      </c>
      <c r="C53" s="323">
        <f t="shared" si="4"/>
        <v>0</v>
      </c>
      <c r="D53" s="319">
        <f t="shared" si="1"/>
        <v>0</v>
      </c>
      <c r="E53" s="325">
        <f t="shared" si="2"/>
        <v>0</v>
      </c>
    </row>
    <row r="54" spans="1:5">
      <c r="A54" s="333">
        <f>IF((B54&gt;(Inputs!$B$7+Inputs!$B$8-0)),0,IF((B54&lt;Inputs!$B$7),0,((B54-Inputs!$B$7)+0)))</f>
        <v>0</v>
      </c>
      <c r="B54" s="255">
        <v>2059</v>
      </c>
      <c r="C54" s="323">
        <f t="shared" si="4"/>
        <v>0</v>
      </c>
      <c r="D54" s="319">
        <f t="shared" si="1"/>
        <v>0</v>
      </c>
      <c r="E54" s="325">
        <f t="shared" si="2"/>
        <v>0</v>
      </c>
    </row>
    <row r="55" spans="1:5">
      <c r="A55" s="333">
        <f>IF((B55&gt;(Inputs!$B$7+Inputs!$B$8-0)),0,IF((B55&lt;Inputs!$B$7),0,((B55-Inputs!$B$7)+0)))</f>
        <v>0</v>
      </c>
      <c r="B55" s="255">
        <v>2060</v>
      </c>
      <c r="C55" s="323">
        <f t="shared" si="4"/>
        <v>0</v>
      </c>
      <c r="D55" s="319">
        <f t="shared" si="1"/>
        <v>0</v>
      </c>
      <c r="E55" s="325">
        <f t="shared" si="2"/>
        <v>0</v>
      </c>
    </row>
    <row r="56" spans="1:5" ht="15.75" thickBot="1">
      <c r="A56" s="64">
        <f>IF((B56&gt;(Inputs!$B$7+Inputs!$B$8-0)),0,IF((B56&lt;Inputs!$B$7),0,((B56-Inputs!$B$7)+0)))</f>
        <v>0</v>
      </c>
      <c r="B56" s="255"/>
      <c r="C56" s="144"/>
      <c r="D56" s="326"/>
      <c r="E56" s="327"/>
    </row>
    <row r="57" spans="1:5">
      <c r="D57" s="136">
        <f>SUM(D13:D55)</f>
        <v>4023396</v>
      </c>
      <c r="E57" s="136">
        <f>SUM(E13:E55)</f>
        <v>6222921</v>
      </c>
    </row>
  </sheetData>
  <mergeCells count="2">
    <mergeCell ref="A8:B8"/>
    <mergeCell ref="C3:E3"/>
  </mergeCells>
  <phoneticPr fontId="66" type="noConversion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6" tint="0.79998168889431442"/>
  </sheetPr>
  <dimension ref="A1:H37"/>
  <sheetViews>
    <sheetView workbookViewId="0">
      <selection activeCell="C14" sqref="C14"/>
    </sheetView>
  </sheetViews>
  <sheetFormatPr defaultColWidth="8.85546875" defaultRowHeight="15"/>
  <cols>
    <col min="1" max="1" width="8.85546875" style="64"/>
    <col min="2" max="3" width="24.5703125" style="64" customWidth="1"/>
    <col min="4" max="4" width="21.85546875" style="64" customWidth="1"/>
    <col min="5" max="5" width="24.5703125" style="64" customWidth="1"/>
    <col min="6" max="6" width="18.5703125" style="64" bestFit="1" customWidth="1"/>
    <col min="7" max="7" width="14.28515625" style="64" bestFit="1" customWidth="1"/>
    <col min="8" max="8" width="17" style="64" bestFit="1" customWidth="1"/>
    <col min="9" max="16384" width="8.85546875" style="64"/>
  </cols>
  <sheetData>
    <row r="1" spans="1:8">
      <c r="A1" s="205"/>
    </row>
    <row r="3" spans="1:8">
      <c r="A3" s="64" t="s">
        <v>465</v>
      </c>
    </row>
    <row r="4" spans="1:8" ht="15.75">
      <c r="A4" s="705" t="s">
        <v>456</v>
      </c>
      <c r="B4" s="705"/>
      <c r="D4" s="316" t="s">
        <v>487</v>
      </c>
    </row>
    <row r="5" spans="1:8">
      <c r="A5" s="707" t="s">
        <v>103</v>
      </c>
      <c r="B5" s="707"/>
      <c r="C5" s="125"/>
    </row>
    <row r="6" spans="1:8">
      <c r="A6" s="695" t="s">
        <v>103</v>
      </c>
      <c r="B6" s="695"/>
      <c r="C6" s="125"/>
      <c r="D6" s="213">
        <v>2869609</v>
      </c>
    </row>
    <row r="7" spans="1:8">
      <c r="A7" s="423"/>
      <c r="B7" s="423"/>
      <c r="C7" s="125"/>
      <c r="D7" s="212"/>
    </row>
    <row r="8" spans="1:8">
      <c r="A8" s="707" t="s">
        <v>104</v>
      </c>
      <c r="B8" s="707"/>
      <c r="C8" s="125"/>
      <c r="D8" s="212"/>
    </row>
    <row r="9" spans="1:8">
      <c r="A9" s="695" t="s">
        <v>27</v>
      </c>
      <c r="B9" s="695"/>
      <c r="C9" s="125"/>
      <c r="D9" s="213">
        <f>'Alt. 1 Cost Estimate'!H126</f>
        <v>10500000</v>
      </c>
    </row>
    <row r="10" spans="1:8">
      <c r="A10" s="695" t="s">
        <v>457</v>
      </c>
      <c r="B10" s="695"/>
      <c r="C10" s="125"/>
      <c r="D10" s="367">
        <f>'Alt. 1 Cost Estimate'!AA14</f>
        <v>13589617</v>
      </c>
      <c r="G10" s="79"/>
      <c r="H10" s="215"/>
    </row>
    <row r="11" spans="1:8">
      <c r="A11" s="695" t="s">
        <v>458</v>
      </c>
      <c r="B11" s="695"/>
      <c r="C11" s="125"/>
      <c r="D11" s="213">
        <f>'Alt. 1 Cost Estimate'!S48</f>
        <v>6611300</v>
      </c>
      <c r="E11" s="74"/>
      <c r="G11" s="79"/>
      <c r="H11" s="215"/>
    </row>
    <row r="12" spans="1:8">
      <c r="A12" s="695" t="s">
        <v>26</v>
      </c>
      <c r="B12" s="695"/>
      <c r="C12" s="125"/>
      <c r="D12" s="213">
        <f>'Alt. 1 Cost Estimate'!H115</f>
        <v>102700000</v>
      </c>
      <c r="G12" s="79"/>
      <c r="H12" s="215"/>
    </row>
    <row r="13" spans="1:8" s="543" customFormat="1" ht="15.75" thickBot="1">
      <c r="A13" s="695" t="s">
        <v>882</v>
      </c>
      <c r="B13" s="695"/>
      <c r="C13" s="125"/>
      <c r="D13" s="213">
        <f>SUM('Alt. 1 Cost Estimate'!H132:H136)*1.15*1.15</f>
        <v>2593422.5</v>
      </c>
      <c r="G13" s="79"/>
      <c r="H13" s="215"/>
    </row>
    <row r="14" spans="1:8" ht="15.75" thickBot="1">
      <c r="A14" s="707" t="s">
        <v>104</v>
      </c>
      <c r="B14" s="707"/>
      <c r="C14" s="125"/>
      <c r="D14" s="214">
        <f>SUM(D9:D13)</f>
        <v>135994339.5</v>
      </c>
    </row>
    <row r="15" spans="1:8">
      <c r="A15" s="125"/>
      <c r="B15" s="125"/>
      <c r="C15" s="125"/>
    </row>
    <row r="16" spans="1:8">
      <c r="A16" s="125"/>
      <c r="B16" s="125"/>
      <c r="C16" s="125"/>
    </row>
    <row r="17" spans="1:5" ht="15.75">
      <c r="A17" s="706" t="s">
        <v>459</v>
      </c>
      <c r="B17" s="706"/>
      <c r="C17" s="125"/>
    </row>
    <row r="18" spans="1:5">
      <c r="A18" s="695" t="s">
        <v>461</v>
      </c>
      <c r="B18" s="695"/>
      <c r="C18" s="125"/>
      <c r="D18" s="367">
        <f>'O&amp;M_AR_Costs'!N21</f>
        <v>5353880.0705467369</v>
      </c>
      <c r="E18" s="64" t="s">
        <v>212</v>
      </c>
    </row>
    <row r="19" spans="1:5">
      <c r="A19" s="695" t="s">
        <v>463</v>
      </c>
      <c r="B19" s="695"/>
      <c r="C19" s="125"/>
      <c r="D19" s="213">
        <f>'O&amp;M_AR_Costs'!N12</f>
        <v>3493959.4356261017</v>
      </c>
      <c r="E19" s="64" t="s">
        <v>469</v>
      </c>
    </row>
    <row r="20" spans="1:5">
      <c r="A20" s="695" t="s">
        <v>460</v>
      </c>
      <c r="B20" s="695"/>
      <c r="C20" s="125"/>
      <c r="D20" s="65">
        <v>10</v>
      </c>
    </row>
    <row r="21" spans="1:5">
      <c r="A21" s="125"/>
      <c r="B21" s="125"/>
      <c r="C21" s="125"/>
    </row>
    <row r="22" spans="1:5">
      <c r="A22" s="707" t="s">
        <v>452</v>
      </c>
      <c r="B22" s="707"/>
      <c r="C22" s="125"/>
    </row>
    <row r="23" spans="1:5">
      <c r="A23" s="695" t="s">
        <v>453</v>
      </c>
      <c r="B23" s="695"/>
      <c r="C23" s="125"/>
      <c r="D23" s="213">
        <v>175000</v>
      </c>
    </row>
    <row r="24" spans="1:5">
      <c r="A24" s="695" t="s">
        <v>454</v>
      </c>
      <c r="B24" s="695"/>
      <c r="C24" s="125"/>
      <c r="D24" s="367">
        <f>'O&amp;M_AR_Costs'!F21</f>
        <v>214525.447042641</v>
      </c>
    </row>
    <row r="26" spans="1:5">
      <c r="B26" s="212"/>
    </row>
    <row r="27" spans="1:5" s="16" customFormat="1" ht="14.45" customHeight="1">
      <c r="A27" s="126"/>
      <c r="B27" s="212"/>
      <c r="C27" s="708" t="s">
        <v>486</v>
      </c>
      <c r="D27" s="708"/>
    </row>
    <row r="28" spans="1:5">
      <c r="B28" s="212"/>
    </row>
    <row r="29" spans="1:5">
      <c r="B29" s="212"/>
    </row>
    <row r="30" spans="1:5">
      <c r="B30" s="212"/>
      <c r="C30" s="217" t="s">
        <v>470</v>
      </c>
      <c r="D30" s="218">
        <f>'Alt. 1 Cost Estimate'!H119</f>
        <v>64438675</v>
      </c>
    </row>
    <row r="31" spans="1:5">
      <c r="B31" s="212"/>
      <c r="C31" s="219" t="s">
        <v>471</v>
      </c>
      <c r="D31" s="220">
        <f>'Alt. 1 Cost Estimate'!H120</f>
        <v>24824325</v>
      </c>
    </row>
    <row r="32" spans="1:5">
      <c r="B32" s="212"/>
      <c r="C32" s="221" t="s">
        <v>882</v>
      </c>
      <c r="D32" s="222">
        <f>'Alt. 1 Cost Estimate'!H123</f>
        <v>2600000</v>
      </c>
    </row>
    <row r="33" spans="2:4">
      <c r="B33" s="212"/>
      <c r="C33" s="328" t="s">
        <v>458</v>
      </c>
      <c r="D33" s="330">
        <f>'Alt. 1 Cost Estimate'!H125</f>
        <v>6600000</v>
      </c>
    </row>
    <row r="34" spans="2:4">
      <c r="B34" s="212"/>
      <c r="C34" s="329" t="s">
        <v>27</v>
      </c>
      <c r="D34" s="331">
        <f>'Alt. 1 Cost Estimate'!H126</f>
        <v>10500000</v>
      </c>
    </row>
    <row r="35" spans="2:4">
      <c r="B35" s="212"/>
    </row>
    <row r="36" spans="2:4">
      <c r="B36" s="212"/>
    </row>
    <row r="37" spans="2:4">
      <c r="B37" s="212"/>
    </row>
  </sheetData>
  <mergeCells count="18">
    <mergeCell ref="C27:D27"/>
    <mergeCell ref="A22:B22"/>
    <mergeCell ref="A5:B5"/>
    <mergeCell ref="A23:B23"/>
    <mergeCell ref="A24:B24"/>
    <mergeCell ref="A6:B6"/>
    <mergeCell ref="A13:B13"/>
    <mergeCell ref="A4:B4"/>
    <mergeCell ref="A20:B20"/>
    <mergeCell ref="A17:B17"/>
    <mergeCell ref="A8:B8"/>
    <mergeCell ref="A18:B18"/>
    <mergeCell ref="A19:B19"/>
    <mergeCell ref="A12:B12"/>
    <mergeCell ref="A14:B14"/>
    <mergeCell ref="A11:B11"/>
    <mergeCell ref="A9:B9"/>
    <mergeCell ref="A10:B10"/>
  </mergeCells>
  <phoneticPr fontId="66" type="noConversion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14749-A909-4A74-BABC-897693C06E90}">
  <sheetPr>
    <tabColor theme="6" tint="0.79998168889431442"/>
  </sheetPr>
  <dimension ref="A1:AC136"/>
  <sheetViews>
    <sheetView topLeftCell="A103" zoomScaleNormal="100" zoomScaleSheetLayoutView="100" workbookViewId="0">
      <selection activeCell="G118" sqref="G118"/>
    </sheetView>
  </sheetViews>
  <sheetFormatPr defaultColWidth="9.28515625" defaultRowHeight="12.75"/>
  <cols>
    <col min="1" max="1" width="5" style="481" customWidth="1"/>
    <col min="2" max="2" width="4.5703125" style="481" customWidth="1"/>
    <col min="3" max="3" width="4.42578125" style="481" customWidth="1"/>
    <col min="4" max="4" width="40.28515625" style="481" customWidth="1"/>
    <col min="5" max="5" width="8" style="486" customWidth="1"/>
    <col min="6" max="6" width="6" style="484" customWidth="1"/>
    <col min="7" max="7" width="12.28515625" style="481" customWidth="1"/>
    <col min="8" max="8" width="16.85546875" style="487" customWidth="1"/>
    <col min="9" max="9" width="2.28515625" style="481" customWidth="1"/>
    <col min="10" max="10" width="15.5703125" style="481" customWidth="1"/>
    <col min="11" max="11" width="9.28515625" style="481"/>
    <col min="12" max="12" width="3" style="481" bestFit="1" customWidth="1"/>
    <col min="13" max="13" width="14.7109375" style="481" bestFit="1" customWidth="1"/>
    <col min="14" max="14" width="13.85546875" style="481" bestFit="1" customWidth="1"/>
    <col min="15" max="15" width="10.28515625" style="481" customWidth="1"/>
    <col min="16" max="16" width="9.42578125" style="481" customWidth="1"/>
    <col min="17" max="17" width="12.140625" style="481" customWidth="1"/>
    <col min="18" max="18" width="9.140625" style="481" customWidth="1"/>
    <col min="19" max="19" width="2" style="481" bestFit="1" customWidth="1"/>
    <col min="20" max="20" width="14.28515625" style="481" bestFit="1" customWidth="1"/>
    <col min="21" max="16384" width="9.28515625" style="481"/>
  </cols>
  <sheetData>
    <row r="1" spans="1:29" ht="13.5" thickBot="1">
      <c r="A1" s="709" t="s">
        <v>840</v>
      </c>
      <c r="B1" s="709"/>
      <c r="C1" s="709"/>
      <c r="D1" s="709"/>
      <c r="E1" s="709"/>
      <c r="F1" s="709"/>
      <c r="G1" s="709"/>
      <c r="H1" s="709"/>
      <c r="L1" s="718" t="s">
        <v>881</v>
      </c>
      <c r="M1" s="718"/>
      <c r="N1" s="718"/>
      <c r="O1" s="718"/>
      <c r="P1" s="718"/>
      <c r="Q1" s="718"/>
      <c r="R1" s="718"/>
      <c r="S1" s="718"/>
      <c r="T1" s="718"/>
      <c r="V1" s="747" t="s">
        <v>902</v>
      </c>
      <c r="W1" s="747"/>
      <c r="X1" s="747"/>
      <c r="Y1" s="747"/>
      <c r="Z1" s="747"/>
      <c r="AA1" s="747"/>
      <c r="AB1" s="747"/>
      <c r="AC1" s="747"/>
    </row>
    <row r="2" spans="1:29" ht="16.5" thickBot="1">
      <c r="A2" s="481" t="s">
        <v>692</v>
      </c>
      <c r="D2" s="482" t="s">
        <v>693</v>
      </c>
      <c r="E2" s="483" t="s">
        <v>694</v>
      </c>
      <c r="F2" s="542"/>
      <c r="G2" s="481" t="s">
        <v>695</v>
      </c>
      <c r="H2" s="485" t="s">
        <v>536</v>
      </c>
      <c r="V2" s="719"/>
      <c r="W2" s="720"/>
      <c r="X2" s="720"/>
      <c r="Y2" s="720"/>
      <c r="Z2" s="721"/>
      <c r="AA2" s="722" t="s">
        <v>884</v>
      </c>
      <c r="AB2" s="723"/>
      <c r="AC2" s="724"/>
    </row>
    <row r="3" spans="1:29" ht="13.5" thickBot="1">
      <c r="A3" s="481" t="s">
        <v>696</v>
      </c>
      <c r="D3" s="481" t="s">
        <v>697</v>
      </c>
      <c r="F3" s="542"/>
      <c r="V3" s="725" t="s">
        <v>885</v>
      </c>
      <c r="W3" s="726"/>
      <c r="X3" s="726"/>
      <c r="Y3" s="726"/>
      <c r="Z3" s="727"/>
      <c r="AA3" s="731" t="s">
        <v>886</v>
      </c>
      <c r="AB3" s="732"/>
      <c r="AC3" s="622" t="s">
        <v>887</v>
      </c>
    </row>
    <row r="4" spans="1:29">
      <c r="A4" s="481" t="s">
        <v>698</v>
      </c>
      <c r="F4" s="542"/>
      <c r="H4" s="488" t="s">
        <v>699</v>
      </c>
      <c r="V4" s="728"/>
      <c r="W4" s="729"/>
      <c r="X4" s="729"/>
      <c r="Y4" s="729"/>
      <c r="Z4" s="730"/>
      <c r="AA4" s="733" t="s">
        <v>888</v>
      </c>
      <c r="AB4" s="734"/>
      <c r="AC4" s="623" t="s">
        <v>889</v>
      </c>
    </row>
    <row r="5" spans="1:29" ht="16.5" thickBot="1">
      <c r="A5" s="481" t="s">
        <v>700</v>
      </c>
      <c r="F5" s="542"/>
      <c r="H5" s="489">
        <f>SUM(H115)</f>
        <v>102700000</v>
      </c>
      <c r="V5" s="753" t="s">
        <v>890</v>
      </c>
      <c r="W5" s="754"/>
      <c r="X5" s="754"/>
      <c r="Y5" s="754"/>
      <c r="Z5" s="755"/>
      <c r="AA5" s="735">
        <v>258</v>
      </c>
      <c r="AB5" s="736"/>
      <c r="AC5" s="737"/>
    </row>
    <row r="6" spans="1:29" ht="15">
      <c r="F6" s="542"/>
      <c r="V6" s="738" t="s">
        <v>891</v>
      </c>
      <c r="W6" s="739"/>
      <c r="X6" s="739"/>
      <c r="Y6" s="739"/>
      <c r="Z6" s="740"/>
      <c r="AA6" s="620">
        <v>7</v>
      </c>
      <c r="AB6" s="741">
        <v>350000</v>
      </c>
      <c r="AC6" s="742"/>
    </row>
    <row r="7" spans="1:29" ht="15">
      <c r="A7" s="481" t="s">
        <v>701</v>
      </c>
      <c r="D7" s="481" t="s">
        <v>702</v>
      </c>
      <c r="E7" s="541" t="s">
        <v>703</v>
      </c>
      <c r="F7" s="710">
        <v>43873</v>
      </c>
      <c r="G7" s="710"/>
      <c r="V7" s="738" t="s">
        <v>892</v>
      </c>
      <c r="W7" s="739"/>
      <c r="X7" s="739"/>
      <c r="Y7" s="739"/>
      <c r="Z7" s="740"/>
      <c r="AA7" s="620">
        <v>5</v>
      </c>
      <c r="AB7" s="741">
        <v>325000</v>
      </c>
      <c r="AC7" s="742"/>
    </row>
    <row r="8" spans="1:29" ht="15">
      <c r="A8" s="481" t="s">
        <v>704</v>
      </c>
      <c r="D8" s="481" t="s">
        <v>705</v>
      </c>
      <c r="E8" s="541" t="s">
        <v>703</v>
      </c>
      <c r="F8" s="710">
        <v>43874</v>
      </c>
      <c r="G8" s="717"/>
      <c r="V8" s="738" t="s">
        <v>893</v>
      </c>
      <c r="W8" s="739"/>
      <c r="X8" s="739"/>
      <c r="Y8" s="739"/>
      <c r="Z8" s="740"/>
      <c r="AA8" s="621" t="s">
        <v>894</v>
      </c>
      <c r="AB8" s="751" t="s">
        <v>895</v>
      </c>
      <c r="AC8" s="752"/>
    </row>
    <row r="9" spans="1:29" ht="15.75" thickBot="1">
      <c r="A9" s="481" t="s">
        <v>706</v>
      </c>
      <c r="D9" s="481" t="s">
        <v>707</v>
      </c>
      <c r="E9" s="490" t="s">
        <v>703</v>
      </c>
      <c r="F9" s="542"/>
      <c r="G9" s="491">
        <v>43882</v>
      </c>
      <c r="V9" s="738" t="s">
        <v>896</v>
      </c>
      <c r="W9" s="739"/>
      <c r="X9" s="739"/>
      <c r="Y9" s="739"/>
      <c r="Z9" s="740"/>
      <c r="AA9" s="621" t="s">
        <v>894</v>
      </c>
      <c r="AB9" s="751" t="s">
        <v>895</v>
      </c>
      <c r="AC9" s="752"/>
    </row>
    <row r="10" spans="1:29" ht="27" thickTop="1" thickBot="1">
      <c r="A10" s="560" t="s">
        <v>708</v>
      </c>
      <c r="B10" s="561" t="s">
        <v>709</v>
      </c>
      <c r="C10" s="561" t="s">
        <v>710</v>
      </c>
      <c r="D10" s="561" t="s">
        <v>711</v>
      </c>
      <c r="E10" s="562" t="s">
        <v>712</v>
      </c>
      <c r="F10" s="561" t="s">
        <v>713</v>
      </c>
      <c r="G10" s="561" t="s">
        <v>714</v>
      </c>
      <c r="H10" s="563" t="s">
        <v>715</v>
      </c>
      <c r="I10" s="564"/>
      <c r="J10" s="564"/>
      <c r="K10" s="564"/>
      <c r="L10" s="543"/>
      <c r="M10" s="675" t="s">
        <v>841</v>
      </c>
      <c r="N10" s="675"/>
      <c r="O10" s="675"/>
      <c r="P10" s="675"/>
      <c r="Q10" s="675"/>
      <c r="R10" s="543"/>
      <c r="S10" s="543"/>
      <c r="T10" s="543"/>
      <c r="V10" s="738" t="s">
        <v>897</v>
      </c>
      <c r="W10" s="739"/>
      <c r="X10" s="739"/>
      <c r="Y10" s="739"/>
      <c r="Z10" s="740"/>
      <c r="AA10" s="621" t="s">
        <v>894</v>
      </c>
      <c r="AB10" s="751" t="s">
        <v>895</v>
      </c>
      <c r="AC10" s="752"/>
    </row>
    <row r="11" spans="1:29" s="492" customFormat="1" ht="15.75" thickTop="1">
      <c r="A11" s="565"/>
      <c r="B11" s="566"/>
      <c r="C11" s="566"/>
      <c r="D11" s="566" t="s">
        <v>283</v>
      </c>
      <c r="E11" s="567"/>
      <c r="F11" s="568"/>
      <c r="G11" s="569"/>
      <c r="H11" s="570"/>
      <c r="I11" s="571"/>
      <c r="J11" s="571"/>
      <c r="K11" s="571"/>
      <c r="L11" s="544" t="s">
        <v>842</v>
      </c>
      <c r="M11" s="544" t="s">
        <v>843</v>
      </c>
      <c r="N11" s="544" t="s">
        <v>844</v>
      </c>
      <c r="O11" s="543" t="s">
        <v>845</v>
      </c>
      <c r="P11" s="543" t="s">
        <v>846</v>
      </c>
      <c r="Q11" s="544" t="s">
        <v>847</v>
      </c>
      <c r="R11" s="543"/>
      <c r="S11" s="711" t="s">
        <v>848</v>
      </c>
      <c r="T11" s="712"/>
      <c r="U11" s="481"/>
      <c r="V11" s="738" t="s">
        <v>898</v>
      </c>
      <c r="W11" s="739"/>
      <c r="X11" s="739"/>
      <c r="Y11" s="739"/>
      <c r="Z11" s="740"/>
      <c r="AA11" s="620">
        <v>12</v>
      </c>
      <c r="AB11" s="741">
        <v>615000</v>
      </c>
      <c r="AC11" s="742"/>
    </row>
    <row r="12" spans="1:29" ht="15.75" thickBot="1">
      <c r="A12" s="565"/>
      <c r="B12" s="566"/>
      <c r="C12" s="566"/>
      <c r="D12" s="566" t="s">
        <v>716</v>
      </c>
      <c r="E12" s="567">
        <v>118</v>
      </c>
      <c r="F12" s="568" t="s">
        <v>717</v>
      </c>
      <c r="G12" s="569">
        <v>40000</v>
      </c>
      <c r="H12" s="570">
        <f>SUM(E12*G12)</f>
        <v>4720000</v>
      </c>
      <c r="I12" s="571"/>
      <c r="J12" s="571"/>
      <c r="K12" s="571"/>
      <c r="L12" s="547">
        <v>1</v>
      </c>
      <c r="M12" s="548" t="s">
        <v>801</v>
      </c>
      <c r="N12" s="547" t="s">
        <v>849</v>
      </c>
      <c r="O12" s="547" t="s">
        <v>850</v>
      </c>
      <c r="P12" s="547">
        <v>1</v>
      </c>
      <c r="Q12" s="547" t="s">
        <v>851</v>
      </c>
      <c r="R12" s="543"/>
      <c r="S12" s="713"/>
      <c r="T12" s="714"/>
      <c r="V12" s="738" t="s">
        <v>899</v>
      </c>
      <c r="W12" s="739"/>
      <c r="X12" s="739"/>
      <c r="Y12" s="739"/>
      <c r="Z12" s="740"/>
      <c r="AA12" s="748">
        <v>9719617</v>
      </c>
      <c r="AB12" s="749"/>
      <c r="AC12" s="750"/>
    </row>
    <row r="13" spans="1:29" ht="15.75" thickTop="1">
      <c r="A13" s="565"/>
      <c r="B13" s="566"/>
      <c r="C13" s="572"/>
      <c r="D13" s="573"/>
      <c r="E13" s="567"/>
      <c r="F13" s="568"/>
      <c r="G13" s="574"/>
      <c r="H13" s="575"/>
      <c r="I13" s="571"/>
      <c r="J13" s="571"/>
      <c r="K13" s="571"/>
      <c r="L13" s="545"/>
      <c r="M13" s="546" t="s">
        <v>852</v>
      </c>
      <c r="N13" s="551">
        <v>1147500</v>
      </c>
      <c r="O13" s="545"/>
      <c r="P13" s="545"/>
      <c r="Q13" s="545"/>
      <c r="R13" s="553"/>
      <c r="S13" s="558" t="s">
        <v>853</v>
      </c>
      <c r="T13" s="559">
        <v>1147500</v>
      </c>
      <c r="V13" s="738" t="s">
        <v>900</v>
      </c>
      <c r="W13" s="739"/>
      <c r="X13" s="739"/>
      <c r="Y13" s="739"/>
      <c r="Z13" s="740"/>
      <c r="AA13" s="748">
        <v>2580000</v>
      </c>
      <c r="AB13" s="749"/>
      <c r="AC13" s="750"/>
    </row>
    <row r="14" spans="1:29" ht="16.5" thickBot="1">
      <c r="A14" s="565"/>
      <c r="B14" s="566"/>
      <c r="C14" s="566"/>
      <c r="D14" s="566" t="s">
        <v>718</v>
      </c>
      <c r="E14" s="567">
        <v>466956</v>
      </c>
      <c r="F14" s="568" t="s">
        <v>719</v>
      </c>
      <c r="G14" s="569">
        <v>10</v>
      </c>
      <c r="H14" s="570">
        <f>SUM(E14*G14)</f>
        <v>4669560</v>
      </c>
      <c r="I14" s="571"/>
      <c r="J14" s="571"/>
      <c r="K14" s="571"/>
      <c r="L14" s="545"/>
      <c r="M14" s="546" t="s">
        <v>854</v>
      </c>
      <c r="N14" s="551">
        <v>999000</v>
      </c>
      <c r="O14" s="545"/>
      <c r="P14" s="545"/>
      <c r="Q14" s="545"/>
      <c r="R14" s="553"/>
      <c r="S14" s="554" t="s">
        <v>853</v>
      </c>
      <c r="T14" s="555">
        <v>999000</v>
      </c>
      <c r="V14" s="743" t="s">
        <v>901</v>
      </c>
      <c r="W14" s="744"/>
      <c r="X14" s="744"/>
      <c r="Y14" s="744"/>
      <c r="Z14" s="744"/>
      <c r="AA14" s="745">
        <v>13589617</v>
      </c>
      <c r="AB14" s="745"/>
      <c r="AC14" s="746"/>
    </row>
    <row r="15" spans="1:29" ht="15">
      <c r="A15" s="565"/>
      <c r="B15" s="566"/>
      <c r="C15" s="566"/>
      <c r="D15" s="566" t="s">
        <v>720</v>
      </c>
      <c r="E15" s="567">
        <v>622506</v>
      </c>
      <c r="F15" s="568" t="s">
        <v>719</v>
      </c>
      <c r="G15" s="569">
        <v>7</v>
      </c>
      <c r="H15" s="570">
        <f>SUM(E15*G15)</f>
        <v>4357542</v>
      </c>
      <c r="I15" s="571"/>
      <c r="J15" s="571"/>
      <c r="K15" s="571"/>
      <c r="L15" s="547">
        <v>2</v>
      </c>
      <c r="M15" s="548" t="s">
        <v>855</v>
      </c>
      <c r="N15" s="552" t="s">
        <v>856</v>
      </c>
      <c r="O15" s="547">
        <v>1</v>
      </c>
      <c r="P15" s="547" t="s">
        <v>857</v>
      </c>
      <c r="Q15" s="547" t="s">
        <v>851</v>
      </c>
      <c r="R15" s="543"/>
      <c r="S15" s="556"/>
      <c r="T15" s="557"/>
    </row>
    <row r="16" spans="1:29" ht="15">
      <c r="A16" s="565"/>
      <c r="B16" s="566"/>
      <c r="C16" s="566"/>
      <c r="D16" s="566"/>
      <c r="E16" s="567"/>
      <c r="F16" s="568"/>
      <c r="G16" s="569"/>
      <c r="H16" s="570"/>
      <c r="I16" s="571"/>
      <c r="J16" s="571"/>
      <c r="K16" s="571"/>
      <c r="L16" s="545"/>
      <c r="M16" s="546" t="s">
        <v>852</v>
      </c>
      <c r="N16" s="551">
        <v>314800</v>
      </c>
      <c r="O16" s="545"/>
      <c r="P16" s="545"/>
      <c r="Q16" s="545"/>
      <c r="R16" s="543"/>
      <c r="S16" s="554" t="s">
        <v>853</v>
      </c>
      <c r="T16" s="555">
        <v>314800</v>
      </c>
    </row>
    <row r="17" spans="1:21" ht="15">
      <c r="A17" s="565"/>
      <c r="B17" s="566"/>
      <c r="C17" s="566"/>
      <c r="D17" s="566" t="s">
        <v>721</v>
      </c>
      <c r="E17" s="567">
        <v>198070</v>
      </c>
      <c r="F17" s="568" t="s">
        <v>722</v>
      </c>
      <c r="G17" s="569">
        <v>2</v>
      </c>
      <c r="H17" s="570">
        <f>SUM(E17*G17)</f>
        <v>396140</v>
      </c>
      <c r="I17" s="571"/>
      <c r="J17" s="571"/>
      <c r="K17" s="571"/>
      <c r="L17" s="545"/>
      <c r="M17" s="546" t="s">
        <v>854</v>
      </c>
      <c r="N17" s="551">
        <v>390000</v>
      </c>
      <c r="O17" s="545"/>
      <c r="P17" s="545"/>
      <c r="Q17" s="545"/>
      <c r="R17" s="543"/>
      <c r="S17" s="554" t="s">
        <v>853</v>
      </c>
      <c r="T17" s="555">
        <v>390000</v>
      </c>
    </row>
    <row r="18" spans="1:21" ht="15">
      <c r="A18" s="565"/>
      <c r="B18" s="566"/>
      <c r="C18" s="566"/>
      <c r="D18" s="566"/>
      <c r="E18" s="567"/>
      <c r="F18" s="568"/>
      <c r="G18" s="569"/>
      <c r="H18" s="570"/>
      <c r="I18" s="571"/>
      <c r="J18" s="571"/>
      <c r="K18" s="571"/>
      <c r="L18" s="547">
        <v>3</v>
      </c>
      <c r="M18" s="548" t="s">
        <v>858</v>
      </c>
      <c r="N18" s="547" t="s">
        <v>859</v>
      </c>
      <c r="O18" s="547" t="s">
        <v>850</v>
      </c>
      <c r="P18" s="547" t="s">
        <v>857</v>
      </c>
      <c r="Q18" s="547" t="s">
        <v>851</v>
      </c>
      <c r="R18" s="543"/>
      <c r="S18" s="556"/>
      <c r="T18" s="557"/>
    </row>
    <row r="19" spans="1:21" ht="15">
      <c r="A19" s="576"/>
      <c r="B19" s="577"/>
      <c r="C19" s="577"/>
      <c r="D19" s="577" t="s">
        <v>723</v>
      </c>
      <c r="E19" s="578">
        <v>460</v>
      </c>
      <c r="F19" s="579" t="s">
        <v>722</v>
      </c>
      <c r="G19" s="580">
        <v>85</v>
      </c>
      <c r="H19" s="581">
        <f t="shared" ref="H19:H23" si="0">SUM(E19*G19)</f>
        <v>39100</v>
      </c>
      <c r="I19" s="582"/>
      <c r="J19" s="582"/>
      <c r="K19" s="582"/>
      <c r="L19" s="545"/>
      <c r="M19" s="546" t="s">
        <v>852</v>
      </c>
      <c r="N19" s="549" t="s">
        <v>860</v>
      </c>
      <c r="O19" s="545"/>
      <c r="P19" s="545"/>
      <c r="Q19" s="545"/>
      <c r="R19" s="543"/>
      <c r="S19" s="554"/>
      <c r="T19" s="555">
        <v>0</v>
      </c>
    </row>
    <row r="20" spans="1:21" s="496" customFormat="1" ht="15">
      <c r="A20" s="576"/>
      <c r="B20" s="577"/>
      <c r="C20" s="577"/>
      <c r="D20" s="577"/>
      <c r="E20" s="578"/>
      <c r="F20" s="579"/>
      <c r="G20" s="580"/>
      <c r="H20" s="581"/>
      <c r="I20" s="582"/>
      <c r="J20" s="582"/>
      <c r="K20" s="582"/>
      <c r="L20" s="545"/>
      <c r="M20" s="546" t="s">
        <v>854</v>
      </c>
      <c r="N20" s="549">
        <v>500000</v>
      </c>
      <c r="O20" s="545"/>
      <c r="P20" s="545"/>
      <c r="Q20" s="545"/>
      <c r="R20" s="543"/>
      <c r="S20" s="554" t="s">
        <v>853</v>
      </c>
      <c r="T20" s="555">
        <v>500000</v>
      </c>
      <c r="U20" s="492"/>
    </row>
    <row r="21" spans="1:21" s="496" customFormat="1" ht="15">
      <c r="A21" s="576"/>
      <c r="B21" s="577"/>
      <c r="C21" s="577"/>
      <c r="D21" s="577" t="s">
        <v>724</v>
      </c>
      <c r="E21" s="578">
        <v>5826</v>
      </c>
      <c r="F21" s="579" t="s">
        <v>725</v>
      </c>
      <c r="G21" s="580">
        <v>25</v>
      </c>
      <c r="H21" s="581">
        <f t="shared" si="0"/>
        <v>145650</v>
      </c>
      <c r="I21" s="582"/>
      <c r="J21" s="582"/>
      <c r="K21" s="582"/>
      <c r="L21" s="547">
        <v>4</v>
      </c>
      <c r="M21" s="548" t="s">
        <v>861</v>
      </c>
      <c r="N21" s="547" t="s">
        <v>862</v>
      </c>
      <c r="O21" s="547" t="s">
        <v>850</v>
      </c>
      <c r="P21" s="547" t="s">
        <v>857</v>
      </c>
      <c r="Q21" s="547" t="s">
        <v>851</v>
      </c>
      <c r="R21" s="543"/>
      <c r="S21" s="556"/>
      <c r="T21" s="557"/>
      <c r="U21" s="481"/>
    </row>
    <row r="22" spans="1:21" s="496" customFormat="1" ht="15">
      <c r="A22" s="576"/>
      <c r="B22" s="577"/>
      <c r="C22" s="577"/>
      <c r="D22" s="577"/>
      <c r="E22" s="578"/>
      <c r="F22" s="579"/>
      <c r="G22" s="580"/>
      <c r="H22" s="581"/>
      <c r="I22" s="582"/>
      <c r="J22" s="582"/>
      <c r="K22" s="582"/>
      <c r="L22" s="545"/>
      <c r="M22" s="546" t="s">
        <v>852</v>
      </c>
      <c r="N22" s="549" t="s">
        <v>860</v>
      </c>
      <c r="O22" s="545"/>
      <c r="P22" s="545"/>
      <c r="Q22" s="545"/>
      <c r="R22" s="543"/>
      <c r="S22" s="554"/>
      <c r="T22" s="555">
        <v>0</v>
      </c>
      <c r="U22" s="481"/>
    </row>
    <row r="23" spans="1:21" s="496" customFormat="1" ht="15">
      <c r="A23" s="576"/>
      <c r="B23" s="577"/>
      <c r="C23" s="577"/>
      <c r="D23" s="577" t="s">
        <v>726</v>
      </c>
      <c r="E23" s="578">
        <v>302</v>
      </c>
      <c r="F23" s="579" t="s">
        <v>725</v>
      </c>
      <c r="G23" s="580">
        <v>50</v>
      </c>
      <c r="H23" s="581">
        <f t="shared" si="0"/>
        <v>15100</v>
      </c>
      <c r="I23" s="582"/>
      <c r="J23" s="582"/>
      <c r="K23" s="582"/>
      <c r="L23" s="545"/>
      <c r="M23" s="546" t="s">
        <v>854</v>
      </c>
      <c r="N23" s="549">
        <v>740000</v>
      </c>
      <c r="O23" s="545"/>
      <c r="P23" s="545"/>
      <c r="Q23" s="545"/>
      <c r="R23" s="543"/>
      <c r="S23" s="554" t="s">
        <v>853</v>
      </c>
      <c r="T23" s="555">
        <v>740000</v>
      </c>
      <c r="U23" s="481"/>
    </row>
    <row r="24" spans="1:21" s="496" customFormat="1" ht="15">
      <c r="A24" s="576"/>
      <c r="B24" s="577"/>
      <c r="C24" s="577"/>
      <c r="D24" s="577"/>
      <c r="E24" s="578"/>
      <c r="F24" s="579"/>
      <c r="G24" s="580"/>
      <c r="H24" s="581"/>
      <c r="I24" s="582"/>
      <c r="J24" s="582"/>
      <c r="K24" s="582"/>
      <c r="L24" s="547">
        <v>5</v>
      </c>
      <c r="M24" s="548" t="s">
        <v>863</v>
      </c>
      <c r="N24" s="547" t="s">
        <v>864</v>
      </c>
      <c r="O24" s="547" t="s">
        <v>850</v>
      </c>
      <c r="P24" s="547">
        <v>2</v>
      </c>
      <c r="Q24" s="547" t="s">
        <v>851</v>
      </c>
      <c r="R24" s="543"/>
      <c r="S24" s="556"/>
      <c r="T24" s="557"/>
      <c r="U24" s="481"/>
    </row>
    <row r="25" spans="1:21" s="496" customFormat="1" ht="15">
      <c r="A25" s="565"/>
      <c r="B25" s="566"/>
      <c r="C25" s="566"/>
      <c r="D25" s="566" t="s">
        <v>727</v>
      </c>
      <c r="E25" s="567"/>
      <c r="F25" s="568"/>
      <c r="G25" s="569"/>
      <c r="H25" s="570"/>
      <c r="I25" s="571"/>
      <c r="J25" s="571"/>
      <c r="K25" s="571"/>
      <c r="L25" s="545"/>
      <c r="M25" s="546" t="s">
        <v>852</v>
      </c>
      <c r="N25" s="549" t="s">
        <v>860</v>
      </c>
      <c r="O25" s="545"/>
      <c r="P25" s="545"/>
      <c r="Q25" s="545"/>
      <c r="R25" s="543"/>
      <c r="S25" s="554"/>
      <c r="T25" s="555">
        <v>0</v>
      </c>
      <c r="U25" s="481"/>
    </row>
    <row r="26" spans="1:21" ht="15">
      <c r="A26" s="565"/>
      <c r="B26" s="566"/>
      <c r="C26" s="566"/>
      <c r="D26" s="583" t="s">
        <v>728</v>
      </c>
      <c r="E26" s="584">
        <v>1.117</v>
      </c>
      <c r="F26" s="568" t="s">
        <v>729</v>
      </c>
      <c r="G26" s="569">
        <v>500000</v>
      </c>
      <c r="H26" s="570">
        <f>SUM(E26*G26)</f>
        <v>558500</v>
      </c>
      <c r="I26" s="571"/>
      <c r="J26" s="571"/>
      <c r="K26" s="571"/>
      <c r="L26" s="545"/>
      <c r="M26" s="546" t="s">
        <v>854</v>
      </c>
      <c r="N26" s="549">
        <v>300000</v>
      </c>
      <c r="O26" s="545"/>
      <c r="P26" s="545"/>
      <c r="Q26" s="545"/>
      <c r="R26" s="543"/>
      <c r="S26" s="554" t="s">
        <v>853</v>
      </c>
      <c r="T26" s="555">
        <v>300000</v>
      </c>
    </row>
    <row r="27" spans="1:21" ht="13.15" customHeight="1">
      <c r="A27" s="565"/>
      <c r="B27" s="566"/>
      <c r="C27" s="566"/>
      <c r="D27" s="585" t="s">
        <v>730</v>
      </c>
      <c r="E27" s="584">
        <v>9.2999999999999999E-2</v>
      </c>
      <c r="F27" s="568" t="s">
        <v>729</v>
      </c>
      <c r="G27" s="569">
        <v>1000000</v>
      </c>
      <c r="H27" s="570">
        <f>SUM(E27*G27)</f>
        <v>93000</v>
      </c>
      <c r="I27" s="571"/>
      <c r="J27" s="571"/>
      <c r="K27" s="571"/>
      <c r="L27" s="547">
        <v>6</v>
      </c>
      <c r="M27" s="548" t="s">
        <v>865</v>
      </c>
      <c r="N27" s="547" t="s">
        <v>866</v>
      </c>
      <c r="O27" s="547">
        <v>2</v>
      </c>
      <c r="P27" s="547">
        <v>3</v>
      </c>
      <c r="Q27" s="547" t="s">
        <v>851</v>
      </c>
      <c r="R27" s="543"/>
      <c r="S27" s="556"/>
      <c r="T27" s="557"/>
    </row>
    <row r="28" spans="1:21" ht="13.15" customHeight="1">
      <c r="A28" s="565"/>
      <c r="B28" s="566"/>
      <c r="C28" s="566"/>
      <c r="D28" s="583" t="s">
        <v>731</v>
      </c>
      <c r="E28" s="584">
        <v>9.9589999999999996</v>
      </c>
      <c r="F28" s="568" t="s">
        <v>729</v>
      </c>
      <c r="G28" s="569">
        <v>350000</v>
      </c>
      <c r="H28" s="570">
        <f>SUM(E28*G28)</f>
        <v>3485650</v>
      </c>
      <c r="I28" s="571"/>
      <c r="J28" s="571"/>
      <c r="K28" s="571"/>
      <c r="L28" s="545"/>
      <c r="M28" s="546" t="s">
        <v>852</v>
      </c>
      <c r="N28" s="549" t="s">
        <v>860</v>
      </c>
      <c r="O28" s="545"/>
      <c r="P28" s="545"/>
      <c r="Q28" s="545"/>
      <c r="R28" s="543"/>
      <c r="S28" s="554"/>
      <c r="T28" s="555">
        <v>0</v>
      </c>
    </row>
    <row r="29" spans="1:21" ht="15">
      <c r="A29" s="565"/>
      <c r="B29" s="566"/>
      <c r="C29" s="566"/>
      <c r="D29" s="585" t="s">
        <v>732</v>
      </c>
      <c r="E29" s="584">
        <v>0.54100000000000004</v>
      </c>
      <c r="F29" s="568" t="s">
        <v>729</v>
      </c>
      <c r="G29" s="569">
        <v>750000</v>
      </c>
      <c r="H29" s="570">
        <f>SUM(E29*G29)</f>
        <v>405750</v>
      </c>
      <c r="I29" s="571"/>
      <c r="J29" s="571"/>
      <c r="K29" s="571"/>
      <c r="L29" s="545"/>
      <c r="M29" s="546" t="s">
        <v>854</v>
      </c>
      <c r="N29" s="549">
        <v>600000</v>
      </c>
      <c r="O29" s="545"/>
      <c r="P29" s="545"/>
      <c r="Q29" s="545"/>
      <c r="R29" s="543"/>
      <c r="S29" s="554" t="s">
        <v>853</v>
      </c>
      <c r="T29" s="555">
        <v>600000</v>
      </c>
      <c r="U29" s="496"/>
    </row>
    <row r="30" spans="1:21" ht="12.6" customHeight="1">
      <c r="A30" s="565"/>
      <c r="B30" s="566"/>
      <c r="C30" s="566"/>
      <c r="D30" s="585" t="s">
        <v>733</v>
      </c>
      <c r="E30" s="584">
        <v>0.37</v>
      </c>
      <c r="F30" s="568" t="s">
        <v>729</v>
      </c>
      <c r="G30" s="569">
        <v>250000</v>
      </c>
      <c r="H30" s="570">
        <f>SUM(E30*G30)</f>
        <v>92500</v>
      </c>
      <c r="I30" s="571"/>
      <c r="J30" s="571"/>
      <c r="K30" s="571"/>
      <c r="L30" s="547">
        <v>7</v>
      </c>
      <c r="M30" s="548" t="s">
        <v>867</v>
      </c>
      <c r="N30" s="547" t="s">
        <v>868</v>
      </c>
      <c r="O30" s="547">
        <v>3</v>
      </c>
      <c r="P30" s="547" t="s">
        <v>857</v>
      </c>
      <c r="Q30" s="547" t="s">
        <v>851</v>
      </c>
      <c r="R30" s="543"/>
      <c r="S30" s="556"/>
      <c r="T30" s="557"/>
      <c r="U30" s="496"/>
    </row>
    <row r="31" spans="1:21" ht="13.15" customHeight="1">
      <c r="A31" s="565"/>
      <c r="B31" s="566"/>
      <c r="C31" s="572"/>
      <c r="D31" s="573"/>
      <c r="E31" s="567"/>
      <c r="F31" s="568"/>
      <c r="G31" s="574"/>
      <c r="H31" s="570"/>
      <c r="I31" s="571"/>
      <c r="J31" s="571"/>
      <c r="K31" s="571"/>
      <c r="L31" s="545"/>
      <c r="M31" s="546" t="s">
        <v>852</v>
      </c>
      <c r="N31" s="549" t="s">
        <v>860</v>
      </c>
      <c r="O31" s="545"/>
      <c r="P31" s="545"/>
      <c r="Q31" s="545"/>
      <c r="R31" s="543"/>
      <c r="S31" s="554"/>
      <c r="T31" s="555">
        <v>0</v>
      </c>
      <c r="U31" s="496"/>
    </row>
    <row r="32" spans="1:21" ht="15">
      <c r="A32" s="565"/>
      <c r="B32" s="566"/>
      <c r="C32" s="566"/>
      <c r="D32" s="566" t="s">
        <v>734</v>
      </c>
      <c r="E32" s="567"/>
      <c r="F32" s="568"/>
      <c r="G32" s="569"/>
      <c r="H32" s="570"/>
      <c r="I32" s="571"/>
      <c r="J32" s="571"/>
      <c r="K32" s="571"/>
      <c r="L32" s="545"/>
      <c r="M32" s="546" t="s">
        <v>854</v>
      </c>
      <c r="N32" s="549">
        <v>40000</v>
      </c>
      <c r="O32" s="545"/>
      <c r="P32" s="545"/>
      <c r="Q32" s="545"/>
      <c r="R32" s="543"/>
      <c r="S32" s="554" t="s">
        <v>853</v>
      </c>
      <c r="T32" s="555">
        <v>40000</v>
      </c>
      <c r="U32" s="496"/>
    </row>
    <row r="33" spans="1:21" ht="15">
      <c r="A33" s="565"/>
      <c r="B33" s="566"/>
      <c r="C33" s="566"/>
      <c r="D33" s="566" t="s">
        <v>735</v>
      </c>
      <c r="E33" s="567">
        <v>62000</v>
      </c>
      <c r="F33" s="568" t="s">
        <v>722</v>
      </c>
      <c r="G33" s="569">
        <f>0.7*80+23</f>
        <v>79</v>
      </c>
      <c r="H33" s="570">
        <f>E33*G33</f>
        <v>4898000</v>
      </c>
      <c r="I33" s="571"/>
      <c r="J33" s="571">
        <f>0.7*E33</f>
        <v>43400</v>
      </c>
      <c r="K33" s="571"/>
      <c r="L33" s="547">
        <v>8</v>
      </c>
      <c r="M33" s="548" t="s">
        <v>869</v>
      </c>
      <c r="N33" s="547" t="s">
        <v>870</v>
      </c>
      <c r="O33" s="547" t="s">
        <v>850</v>
      </c>
      <c r="P33" s="547">
        <v>4</v>
      </c>
      <c r="Q33" s="547" t="s">
        <v>871</v>
      </c>
      <c r="R33" s="543"/>
      <c r="S33" s="556"/>
      <c r="T33" s="557"/>
      <c r="U33" s="496"/>
    </row>
    <row r="34" spans="1:21" ht="15">
      <c r="A34" s="565"/>
      <c r="B34" s="566"/>
      <c r="C34" s="566"/>
      <c r="D34" s="573" t="s">
        <v>736</v>
      </c>
      <c r="E34" s="567">
        <v>93100</v>
      </c>
      <c r="F34" s="568" t="s">
        <v>722</v>
      </c>
      <c r="G34" s="569">
        <f>0.7*85+23</f>
        <v>82.5</v>
      </c>
      <c r="H34" s="570">
        <f>SUM(E34*G34)</f>
        <v>7680750</v>
      </c>
      <c r="I34" s="571"/>
      <c r="J34" s="571">
        <f>0.7*E34</f>
        <v>65169.999999999993</v>
      </c>
      <c r="K34" s="571"/>
      <c r="L34" s="545"/>
      <c r="M34" s="546" t="s">
        <v>852</v>
      </c>
      <c r="N34" s="549" t="s">
        <v>860</v>
      </c>
      <c r="O34" s="545"/>
      <c r="P34" s="545"/>
      <c r="Q34" s="545"/>
      <c r="R34" s="543"/>
      <c r="S34" s="554"/>
      <c r="T34" s="555">
        <v>0</v>
      </c>
      <c r="U34" s="496"/>
    </row>
    <row r="35" spans="1:21" ht="15">
      <c r="A35" s="565"/>
      <c r="B35" s="566"/>
      <c r="C35" s="566"/>
      <c r="D35" s="573" t="s">
        <v>737</v>
      </c>
      <c r="E35" s="567">
        <v>196700</v>
      </c>
      <c r="F35" s="568" t="s">
        <v>722</v>
      </c>
      <c r="G35" s="569">
        <f>0.2*80+7</f>
        <v>23</v>
      </c>
      <c r="H35" s="570">
        <f>SUM(E35*G35)</f>
        <v>4524100</v>
      </c>
      <c r="I35" s="571"/>
      <c r="J35" s="571">
        <f>0.2*E35</f>
        <v>39340</v>
      </c>
      <c r="K35" s="571"/>
      <c r="L35" s="545"/>
      <c r="M35" s="546" t="s">
        <v>854</v>
      </c>
      <c r="N35" s="549">
        <v>120000</v>
      </c>
      <c r="O35" s="545"/>
      <c r="P35" s="545"/>
      <c r="Q35" s="545"/>
      <c r="R35" s="543"/>
      <c r="S35" s="554" t="s">
        <v>853</v>
      </c>
      <c r="T35" s="555">
        <v>120000</v>
      </c>
    </row>
    <row r="36" spans="1:21" ht="15">
      <c r="A36" s="565"/>
      <c r="B36" s="566"/>
      <c r="C36" s="572"/>
      <c r="D36" s="573"/>
      <c r="E36" s="567"/>
      <c r="F36" s="568"/>
      <c r="G36" s="569"/>
      <c r="H36" s="570"/>
      <c r="I36" s="571"/>
      <c r="J36" s="571"/>
      <c r="K36" s="571"/>
      <c r="L36" s="547">
        <v>9</v>
      </c>
      <c r="M36" s="548" t="s">
        <v>872</v>
      </c>
      <c r="N36" s="547" t="s">
        <v>873</v>
      </c>
      <c r="O36" s="547">
        <v>4</v>
      </c>
      <c r="P36" s="547">
        <v>5</v>
      </c>
      <c r="Q36" s="547" t="s">
        <v>871</v>
      </c>
      <c r="R36" s="543"/>
      <c r="S36" s="556"/>
      <c r="T36" s="557"/>
    </row>
    <row r="37" spans="1:21" ht="15">
      <c r="A37" s="565"/>
      <c r="B37" s="566"/>
      <c r="C37" s="572"/>
      <c r="D37" s="573" t="s">
        <v>738</v>
      </c>
      <c r="E37" s="567">
        <v>128550</v>
      </c>
      <c r="F37" s="568" t="s">
        <v>722</v>
      </c>
      <c r="G37" s="569">
        <v>10</v>
      </c>
      <c r="H37" s="570">
        <f>SUM(E37*G37)</f>
        <v>1285500</v>
      </c>
      <c r="I37" s="571"/>
      <c r="J37" s="571"/>
      <c r="K37" s="571"/>
      <c r="L37" s="545"/>
      <c r="M37" s="546" t="s">
        <v>852</v>
      </c>
      <c r="N37" s="549" t="s">
        <v>860</v>
      </c>
      <c r="O37" s="545"/>
      <c r="P37" s="545"/>
      <c r="Q37" s="545"/>
      <c r="R37" s="543"/>
      <c r="S37" s="554"/>
      <c r="T37" s="555">
        <v>0</v>
      </c>
    </row>
    <row r="38" spans="1:21" ht="15">
      <c r="A38" s="565"/>
      <c r="B38" s="566"/>
      <c r="C38" s="572"/>
      <c r="D38" s="573"/>
      <c r="E38" s="567"/>
      <c r="F38" s="568"/>
      <c r="G38" s="569"/>
      <c r="H38" s="570"/>
      <c r="I38" s="571"/>
      <c r="J38" s="571"/>
      <c r="K38" s="571"/>
      <c r="L38" s="545"/>
      <c r="M38" s="546" t="s">
        <v>854</v>
      </c>
      <c r="N38" s="549">
        <v>360000</v>
      </c>
      <c r="O38" s="545"/>
      <c r="P38" s="545"/>
      <c r="Q38" s="545"/>
      <c r="R38" s="543"/>
      <c r="S38" s="554" t="s">
        <v>853</v>
      </c>
      <c r="T38" s="555">
        <v>360000</v>
      </c>
    </row>
    <row r="39" spans="1:21" ht="15">
      <c r="A39" s="565"/>
      <c r="B39" s="566"/>
      <c r="C39" s="566"/>
      <c r="D39" s="566" t="s">
        <v>739</v>
      </c>
      <c r="E39" s="567">
        <v>42600</v>
      </c>
      <c r="F39" s="568" t="s">
        <v>725</v>
      </c>
      <c r="G39" s="569">
        <v>18</v>
      </c>
      <c r="H39" s="570">
        <f t="shared" ref="H39:H46" si="1">SUM(E39*G39)</f>
        <v>766800</v>
      </c>
      <c r="I39" s="571"/>
      <c r="J39" s="571"/>
      <c r="K39" s="571"/>
      <c r="L39" s="547">
        <v>10</v>
      </c>
      <c r="M39" s="548" t="s">
        <v>874</v>
      </c>
      <c r="N39" s="547" t="s">
        <v>875</v>
      </c>
      <c r="O39" s="547">
        <v>5</v>
      </c>
      <c r="P39" s="547" t="s">
        <v>857</v>
      </c>
      <c r="Q39" s="547" t="s">
        <v>851</v>
      </c>
      <c r="R39" s="543"/>
      <c r="S39" s="556"/>
      <c r="T39" s="557"/>
    </row>
    <row r="40" spans="1:21" ht="15">
      <c r="A40" s="565"/>
      <c r="B40" s="566"/>
      <c r="C40" s="566"/>
      <c r="D40" s="566" t="s">
        <v>740</v>
      </c>
      <c r="E40" s="567">
        <v>1050</v>
      </c>
      <c r="F40" s="568" t="s">
        <v>725</v>
      </c>
      <c r="G40" s="569">
        <v>22</v>
      </c>
      <c r="H40" s="570">
        <f t="shared" si="1"/>
        <v>23100</v>
      </c>
      <c r="I40" s="571"/>
      <c r="J40" s="571"/>
      <c r="K40" s="571"/>
      <c r="L40" s="545"/>
      <c r="M40" s="546" t="s">
        <v>852</v>
      </c>
      <c r="N40" s="549" t="s">
        <v>860</v>
      </c>
      <c r="O40" s="545"/>
      <c r="P40" s="545"/>
      <c r="Q40" s="545"/>
      <c r="R40" s="543"/>
      <c r="S40" s="554"/>
      <c r="T40" s="555">
        <v>0</v>
      </c>
    </row>
    <row r="41" spans="1:21" ht="15">
      <c r="A41" s="565"/>
      <c r="B41" s="566"/>
      <c r="C41" s="566"/>
      <c r="D41" s="566" t="s">
        <v>741</v>
      </c>
      <c r="E41" s="586">
        <v>25</v>
      </c>
      <c r="F41" s="568" t="s">
        <v>742</v>
      </c>
      <c r="G41" s="569">
        <v>33</v>
      </c>
      <c r="H41" s="570">
        <f t="shared" si="1"/>
        <v>825</v>
      </c>
      <c r="I41" s="571"/>
      <c r="J41" s="571"/>
      <c r="K41" s="571"/>
      <c r="L41" s="545"/>
      <c r="M41" s="546" t="s">
        <v>854</v>
      </c>
      <c r="N41" s="549">
        <v>300000</v>
      </c>
      <c r="O41" s="545"/>
      <c r="P41" s="545"/>
      <c r="Q41" s="545"/>
      <c r="R41" s="543"/>
      <c r="S41" s="554" t="s">
        <v>853</v>
      </c>
      <c r="T41" s="555">
        <v>300000</v>
      </c>
    </row>
    <row r="42" spans="1:21" ht="15">
      <c r="A42" s="565"/>
      <c r="B42" s="566"/>
      <c r="C42" s="566"/>
      <c r="D42" s="566" t="s">
        <v>743</v>
      </c>
      <c r="E42" s="567">
        <v>26</v>
      </c>
      <c r="F42" s="568" t="s">
        <v>742</v>
      </c>
      <c r="G42" s="569">
        <v>675</v>
      </c>
      <c r="H42" s="570">
        <f t="shared" si="1"/>
        <v>17550</v>
      </c>
      <c r="I42" s="571"/>
      <c r="J42" s="571"/>
      <c r="K42" s="571"/>
      <c r="L42" s="547">
        <v>11</v>
      </c>
      <c r="M42" s="548" t="s">
        <v>876</v>
      </c>
      <c r="N42" s="547" t="s">
        <v>877</v>
      </c>
      <c r="O42" s="547" t="s">
        <v>850</v>
      </c>
      <c r="P42" s="547">
        <v>6</v>
      </c>
      <c r="Q42" s="547" t="s">
        <v>851</v>
      </c>
      <c r="R42" s="543"/>
      <c r="S42" s="556"/>
      <c r="T42" s="557"/>
    </row>
    <row r="43" spans="1:21" ht="15">
      <c r="A43" s="565"/>
      <c r="B43" s="566"/>
      <c r="C43" s="566"/>
      <c r="D43" s="566" t="s">
        <v>744</v>
      </c>
      <c r="E43" s="567">
        <v>14</v>
      </c>
      <c r="F43" s="568" t="s">
        <v>742</v>
      </c>
      <c r="G43" s="569">
        <v>675</v>
      </c>
      <c r="H43" s="570">
        <f t="shared" si="1"/>
        <v>9450</v>
      </c>
      <c r="I43" s="571"/>
      <c r="J43" s="571"/>
      <c r="K43" s="571"/>
      <c r="L43" s="545"/>
      <c r="M43" s="546" t="s">
        <v>852</v>
      </c>
      <c r="N43" s="549" t="s">
        <v>860</v>
      </c>
      <c r="O43" s="545"/>
      <c r="P43" s="545"/>
      <c r="Q43" s="545"/>
      <c r="R43" s="543"/>
      <c r="S43" s="554"/>
      <c r="T43" s="555">
        <v>0</v>
      </c>
    </row>
    <row r="44" spans="1:21" ht="15">
      <c r="A44" s="565"/>
      <c r="B44" s="566"/>
      <c r="C44" s="566"/>
      <c r="D44" s="566" t="s">
        <v>745</v>
      </c>
      <c r="E44" s="567">
        <v>88</v>
      </c>
      <c r="F44" s="568" t="s">
        <v>742</v>
      </c>
      <c r="G44" s="569">
        <v>3200</v>
      </c>
      <c r="H44" s="570">
        <f>SUM(E44*G44)</f>
        <v>281600</v>
      </c>
      <c r="I44" s="571"/>
      <c r="J44" s="571"/>
      <c r="K44" s="571"/>
      <c r="L44" s="545"/>
      <c r="M44" s="546" t="s">
        <v>854</v>
      </c>
      <c r="N44" s="549">
        <v>300000</v>
      </c>
      <c r="O44" s="545"/>
      <c r="P44" s="545"/>
      <c r="Q44" s="545"/>
      <c r="R44" s="543"/>
      <c r="S44" s="554" t="s">
        <v>853</v>
      </c>
      <c r="T44" s="555">
        <v>300000</v>
      </c>
    </row>
    <row r="45" spans="1:21" ht="15">
      <c r="A45" s="565"/>
      <c r="B45" s="566"/>
      <c r="C45" s="566"/>
      <c r="D45" s="566" t="s">
        <v>746</v>
      </c>
      <c r="E45" s="567">
        <v>13</v>
      </c>
      <c r="F45" s="568" t="s">
        <v>742</v>
      </c>
      <c r="G45" s="569">
        <v>1850</v>
      </c>
      <c r="H45" s="570">
        <f>SUM(E45*G45)</f>
        <v>24050</v>
      </c>
      <c r="I45" s="571"/>
      <c r="J45" s="571"/>
      <c r="K45" s="571"/>
      <c r="L45" s="547">
        <v>12</v>
      </c>
      <c r="M45" s="548" t="s">
        <v>878</v>
      </c>
      <c r="N45" s="547" t="s">
        <v>879</v>
      </c>
      <c r="O45" s="547">
        <v>6</v>
      </c>
      <c r="P45" s="547" t="s">
        <v>857</v>
      </c>
      <c r="Q45" s="547" t="s">
        <v>851</v>
      </c>
      <c r="R45" s="543"/>
      <c r="S45" s="556"/>
      <c r="T45" s="557"/>
    </row>
    <row r="46" spans="1:21" ht="15">
      <c r="A46" s="565"/>
      <c r="B46" s="566"/>
      <c r="C46" s="566"/>
      <c r="D46" s="566" t="s">
        <v>747</v>
      </c>
      <c r="E46" s="567">
        <v>49</v>
      </c>
      <c r="F46" s="568" t="s">
        <v>742</v>
      </c>
      <c r="G46" s="569">
        <v>1800</v>
      </c>
      <c r="H46" s="570">
        <f t="shared" si="1"/>
        <v>88200</v>
      </c>
      <c r="I46" s="571"/>
      <c r="J46" s="571"/>
      <c r="K46" s="571"/>
      <c r="L46" s="545"/>
      <c r="M46" s="546" t="s">
        <v>852</v>
      </c>
      <c r="N46" s="549" t="s">
        <v>860</v>
      </c>
      <c r="O46" s="545"/>
      <c r="P46" s="545"/>
      <c r="Q46" s="545"/>
      <c r="R46" s="543"/>
      <c r="S46" s="554"/>
      <c r="T46" s="555">
        <v>0</v>
      </c>
    </row>
    <row r="47" spans="1:21" ht="15.75" thickBot="1">
      <c r="A47" s="565"/>
      <c r="B47" s="566"/>
      <c r="C47" s="566"/>
      <c r="D47" s="566"/>
      <c r="E47" s="567"/>
      <c r="F47" s="568"/>
      <c r="G47" s="569"/>
      <c r="H47" s="570"/>
      <c r="I47" s="571"/>
      <c r="J47" s="571"/>
      <c r="K47" s="571"/>
      <c r="L47" s="545"/>
      <c r="M47" s="546" t="s">
        <v>854</v>
      </c>
      <c r="N47" s="549">
        <v>500000</v>
      </c>
      <c r="O47" s="545"/>
      <c r="P47" s="545"/>
      <c r="Q47" s="545"/>
      <c r="R47" s="543"/>
      <c r="S47" s="554" t="s">
        <v>853</v>
      </c>
      <c r="T47" s="555">
        <v>500000</v>
      </c>
    </row>
    <row r="48" spans="1:21" ht="27" thickTop="1" thickBot="1">
      <c r="A48" s="565"/>
      <c r="B48" s="566"/>
      <c r="C48" s="566"/>
      <c r="D48" s="587" t="s">
        <v>748</v>
      </c>
      <c r="E48" s="567">
        <v>12.2</v>
      </c>
      <c r="F48" s="568" t="s">
        <v>729</v>
      </c>
      <c r="G48" s="569">
        <v>175000</v>
      </c>
      <c r="H48" s="570">
        <f>SUM(E48*G48)</f>
        <v>2135000</v>
      </c>
      <c r="I48" s="571"/>
      <c r="J48" s="588"/>
      <c r="K48" s="571"/>
      <c r="L48" s="543"/>
      <c r="M48" s="543"/>
      <c r="N48" s="543"/>
      <c r="O48" s="543"/>
      <c r="P48" s="543"/>
      <c r="Q48" s="543"/>
      <c r="R48" s="543" t="s">
        <v>880</v>
      </c>
      <c r="S48" s="715">
        <v>6611300</v>
      </c>
      <c r="T48" s="716"/>
    </row>
    <row r="49" spans="1:20" ht="15.75" thickTop="1">
      <c r="A49" s="565"/>
      <c r="B49" s="566"/>
      <c r="C49" s="566"/>
      <c r="D49" s="566"/>
      <c r="E49" s="567"/>
      <c r="F49" s="568"/>
      <c r="G49" s="569"/>
      <c r="H49" s="570"/>
      <c r="I49" s="571"/>
      <c r="J49" s="588"/>
      <c r="K49" s="571"/>
      <c r="L49" s="543"/>
      <c r="M49" s="543"/>
      <c r="N49" s="550"/>
      <c r="O49" s="543"/>
      <c r="P49" s="543"/>
      <c r="Q49" s="543"/>
      <c r="R49" s="543"/>
      <c r="S49" s="711" t="s">
        <v>848</v>
      </c>
      <c r="T49" s="712"/>
    </row>
    <row r="50" spans="1:20" ht="15.75" thickBot="1">
      <c r="A50" s="565"/>
      <c r="B50" s="566"/>
      <c r="C50" s="566"/>
      <c r="D50" s="566" t="s">
        <v>749</v>
      </c>
      <c r="E50" s="584">
        <v>1.117</v>
      </c>
      <c r="F50" s="568" t="s">
        <v>729</v>
      </c>
      <c r="G50" s="569">
        <v>100000</v>
      </c>
      <c r="H50" s="570">
        <f>SUM(E50*G50)</f>
        <v>111700</v>
      </c>
      <c r="I50" s="571"/>
      <c r="J50" s="589"/>
      <c r="K50" s="571"/>
      <c r="L50" s="543"/>
      <c r="M50" s="543"/>
      <c r="N50" s="543"/>
      <c r="O50" s="543"/>
      <c r="P50" s="543"/>
      <c r="Q50" s="543"/>
      <c r="R50" s="543"/>
      <c r="S50" s="713"/>
      <c r="T50" s="714"/>
    </row>
    <row r="51" spans="1:20" ht="13.5" thickTop="1">
      <c r="A51" s="565"/>
      <c r="B51" s="566"/>
      <c r="C51" s="566"/>
      <c r="D51" s="566" t="s">
        <v>750</v>
      </c>
      <c r="E51" s="584">
        <v>9.2999999999999999E-2</v>
      </c>
      <c r="F51" s="568" t="s">
        <v>729</v>
      </c>
      <c r="G51" s="569">
        <v>100000</v>
      </c>
      <c r="H51" s="570">
        <f>SUM(E51*G51)</f>
        <v>9300</v>
      </c>
      <c r="I51" s="571"/>
      <c r="J51" s="589"/>
      <c r="K51" s="571"/>
    </row>
    <row r="52" spans="1:20">
      <c r="A52" s="565"/>
      <c r="B52" s="566"/>
      <c r="C52" s="566"/>
      <c r="D52" s="566" t="s">
        <v>751</v>
      </c>
      <c r="E52" s="584">
        <v>9.9589999999999996</v>
      </c>
      <c r="F52" s="568" t="s">
        <v>729</v>
      </c>
      <c r="G52" s="569">
        <v>75000</v>
      </c>
      <c r="H52" s="570">
        <f>SUM(E52*G52)</f>
        <v>746925</v>
      </c>
      <c r="I52" s="571"/>
      <c r="J52" s="589"/>
      <c r="K52" s="571"/>
    </row>
    <row r="53" spans="1:20">
      <c r="A53" s="565"/>
      <c r="B53" s="566"/>
      <c r="C53" s="566"/>
      <c r="D53" s="566" t="s">
        <v>752</v>
      </c>
      <c r="E53" s="584">
        <v>0.54100000000000004</v>
      </c>
      <c r="F53" s="568" t="s">
        <v>729</v>
      </c>
      <c r="G53" s="569">
        <v>75000</v>
      </c>
      <c r="H53" s="570">
        <f>SUM(E53*G53)</f>
        <v>40575</v>
      </c>
      <c r="I53" s="571"/>
      <c r="J53" s="589"/>
      <c r="K53" s="571"/>
    </row>
    <row r="54" spans="1:20">
      <c r="A54" s="565"/>
      <c r="B54" s="566"/>
      <c r="C54" s="566"/>
      <c r="D54" s="566" t="s">
        <v>753</v>
      </c>
      <c r="E54" s="584">
        <v>0.37</v>
      </c>
      <c r="F54" s="568" t="s">
        <v>729</v>
      </c>
      <c r="G54" s="569">
        <v>50000</v>
      </c>
      <c r="H54" s="570">
        <f>SUM(E54*G54)</f>
        <v>18500</v>
      </c>
      <c r="I54" s="571"/>
      <c r="J54" s="589"/>
      <c r="K54" s="571"/>
    </row>
    <row r="55" spans="1:20">
      <c r="A55" s="565"/>
      <c r="B55" s="566"/>
      <c r="C55" s="566"/>
      <c r="D55" s="587"/>
      <c r="E55" s="584"/>
      <c r="F55" s="568"/>
      <c r="G55" s="569"/>
      <c r="H55" s="570"/>
      <c r="I55" s="571"/>
      <c r="J55" s="589"/>
      <c r="K55" s="571"/>
    </row>
    <row r="56" spans="1:20">
      <c r="A56" s="565"/>
      <c r="B56" s="566"/>
      <c r="C56" s="566"/>
      <c r="D56" s="566" t="s">
        <v>754</v>
      </c>
      <c r="E56" s="590">
        <v>70</v>
      </c>
      <c r="F56" s="568" t="s">
        <v>755</v>
      </c>
      <c r="G56" s="569">
        <v>40000</v>
      </c>
      <c r="H56" s="570">
        <f>SUM(E56*G56)</f>
        <v>2800000</v>
      </c>
      <c r="I56" s="571"/>
      <c r="J56" s="589"/>
      <c r="K56" s="571"/>
    </row>
    <row r="57" spans="1:20">
      <c r="A57" s="565"/>
      <c r="B57" s="566"/>
      <c r="C57" s="566"/>
      <c r="D57" s="566"/>
      <c r="E57" s="590"/>
      <c r="F57" s="568"/>
      <c r="G57" s="569"/>
      <c r="H57" s="570"/>
      <c r="I57" s="571"/>
      <c r="J57" s="589"/>
      <c r="K57" s="571"/>
    </row>
    <row r="58" spans="1:20">
      <c r="A58" s="565"/>
      <c r="B58" s="566"/>
      <c r="C58" s="566"/>
      <c r="D58" s="566" t="s">
        <v>756</v>
      </c>
      <c r="E58" s="567">
        <v>0</v>
      </c>
      <c r="F58" s="568" t="s">
        <v>757</v>
      </c>
      <c r="G58" s="569"/>
      <c r="H58" s="570">
        <f>SUM(E58*G58)</f>
        <v>0</v>
      </c>
      <c r="I58" s="571"/>
      <c r="J58" s="589"/>
      <c r="K58" s="571"/>
    </row>
    <row r="59" spans="1:20">
      <c r="A59" s="565"/>
      <c r="B59" s="566"/>
      <c r="C59" s="566"/>
      <c r="D59" s="566"/>
      <c r="E59" s="590"/>
      <c r="F59" s="568"/>
      <c r="G59" s="569"/>
      <c r="H59" s="570"/>
      <c r="I59" s="571"/>
      <c r="J59" s="589"/>
      <c r="K59" s="571"/>
    </row>
    <row r="60" spans="1:20">
      <c r="A60" s="565"/>
      <c r="B60" s="566"/>
      <c r="C60" s="566"/>
      <c r="D60" s="591" t="s">
        <v>758</v>
      </c>
      <c r="E60" s="567"/>
      <c r="F60" s="568"/>
      <c r="G60" s="569"/>
      <c r="H60" s="570"/>
      <c r="I60" s="571"/>
      <c r="J60" s="589"/>
      <c r="K60" s="571"/>
    </row>
    <row r="61" spans="1:20">
      <c r="A61" s="565"/>
      <c r="B61" s="566"/>
      <c r="C61" s="566"/>
      <c r="D61" s="592" t="s">
        <v>759</v>
      </c>
      <c r="E61" s="567">
        <v>2234</v>
      </c>
      <c r="F61" s="568" t="s">
        <v>757</v>
      </c>
      <c r="G61" s="569">
        <v>100</v>
      </c>
      <c r="H61" s="570">
        <f t="shared" ref="H61:H87" si="2">SUM(E61*G61)</f>
        <v>223400</v>
      </c>
      <c r="I61" s="571"/>
      <c r="J61" s="589"/>
      <c r="K61" s="571"/>
    </row>
    <row r="62" spans="1:20">
      <c r="A62" s="565"/>
      <c r="B62" s="566"/>
      <c r="C62" s="566"/>
      <c r="D62" s="592" t="s">
        <v>760</v>
      </c>
      <c r="E62" s="567">
        <v>2219</v>
      </c>
      <c r="F62" s="568" t="s">
        <v>757</v>
      </c>
      <c r="G62" s="569">
        <v>100</v>
      </c>
      <c r="H62" s="570">
        <f t="shared" si="2"/>
        <v>221900</v>
      </c>
      <c r="I62" s="571"/>
      <c r="J62" s="589"/>
      <c r="K62" s="571"/>
    </row>
    <row r="63" spans="1:20">
      <c r="A63" s="565"/>
      <c r="B63" s="566"/>
      <c r="C63" s="566"/>
      <c r="D63" s="592" t="s">
        <v>761</v>
      </c>
      <c r="E63" s="567">
        <v>452</v>
      </c>
      <c r="F63" s="568" t="s">
        <v>757</v>
      </c>
      <c r="G63" s="569">
        <v>150</v>
      </c>
      <c r="H63" s="570">
        <f t="shared" si="2"/>
        <v>67800</v>
      </c>
      <c r="I63" s="571"/>
      <c r="J63" s="589"/>
      <c r="K63" s="571"/>
    </row>
    <row r="64" spans="1:20">
      <c r="A64" s="565"/>
      <c r="B64" s="566"/>
      <c r="C64" s="566"/>
      <c r="D64" s="592" t="s">
        <v>762</v>
      </c>
      <c r="E64" s="567">
        <v>535</v>
      </c>
      <c r="F64" s="568" t="s">
        <v>757</v>
      </c>
      <c r="G64" s="569">
        <v>150</v>
      </c>
      <c r="H64" s="570">
        <f t="shared" si="2"/>
        <v>80250</v>
      </c>
      <c r="I64" s="571"/>
      <c r="J64" s="589"/>
      <c r="K64" s="571"/>
    </row>
    <row r="65" spans="1:11">
      <c r="A65" s="565"/>
      <c r="B65" s="566"/>
      <c r="C65" s="566"/>
      <c r="D65" s="592" t="s">
        <v>763</v>
      </c>
      <c r="E65" s="567">
        <v>1682</v>
      </c>
      <c r="F65" s="568" t="s">
        <v>757</v>
      </c>
      <c r="G65" s="569">
        <v>125</v>
      </c>
      <c r="H65" s="570">
        <f t="shared" si="2"/>
        <v>210250</v>
      </c>
      <c r="I65" s="571"/>
      <c r="J65" s="589"/>
      <c r="K65" s="571"/>
    </row>
    <row r="66" spans="1:11">
      <c r="A66" s="565"/>
      <c r="B66" s="566"/>
      <c r="C66" s="566"/>
      <c r="D66" s="592" t="s">
        <v>764</v>
      </c>
      <c r="E66" s="567">
        <v>6072</v>
      </c>
      <c r="F66" s="568" t="s">
        <v>757</v>
      </c>
      <c r="G66" s="569">
        <v>100</v>
      </c>
      <c r="H66" s="570">
        <f t="shared" si="2"/>
        <v>607200</v>
      </c>
      <c r="I66" s="571"/>
      <c r="J66" s="589"/>
      <c r="K66" s="571"/>
    </row>
    <row r="67" spans="1:11">
      <c r="A67" s="565"/>
      <c r="B67" s="566"/>
      <c r="C67" s="566"/>
      <c r="D67" s="592" t="s">
        <v>765</v>
      </c>
      <c r="E67" s="567">
        <v>604.5</v>
      </c>
      <c r="F67" s="568" t="s">
        <v>757</v>
      </c>
      <c r="G67" s="569">
        <v>150</v>
      </c>
      <c r="H67" s="570">
        <f t="shared" si="2"/>
        <v>90675</v>
      </c>
      <c r="I67" s="571"/>
      <c r="J67" s="589"/>
      <c r="K67" s="571"/>
    </row>
    <row r="68" spans="1:11">
      <c r="A68" s="565"/>
      <c r="B68" s="566"/>
      <c r="C68" s="566"/>
      <c r="D68" s="592" t="s">
        <v>766</v>
      </c>
      <c r="E68" s="567">
        <v>12975</v>
      </c>
      <c r="F68" s="568" t="s">
        <v>757</v>
      </c>
      <c r="G68" s="569">
        <v>125</v>
      </c>
      <c r="H68" s="570">
        <f t="shared" si="2"/>
        <v>1621875</v>
      </c>
      <c r="I68" s="571"/>
      <c r="J68" s="589"/>
      <c r="K68" s="571"/>
    </row>
    <row r="69" spans="1:11">
      <c r="A69" s="565"/>
      <c r="B69" s="566"/>
      <c r="C69" s="566"/>
      <c r="D69" s="592" t="s">
        <v>767</v>
      </c>
      <c r="E69" s="567">
        <v>6591</v>
      </c>
      <c r="F69" s="568" t="s">
        <v>757</v>
      </c>
      <c r="G69" s="569">
        <v>100</v>
      </c>
      <c r="H69" s="570">
        <f t="shared" si="2"/>
        <v>659100</v>
      </c>
      <c r="I69" s="571"/>
      <c r="J69" s="589"/>
      <c r="K69" s="571"/>
    </row>
    <row r="70" spans="1:11">
      <c r="A70" s="565"/>
      <c r="B70" s="566"/>
      <c r="C70" s="566"/>
      <c r="D70" s="592" t="s">
        <v>768</v>
      </c>
      <c r="E70" s="567">
        <v>4166</v>
      </c>
      <c r="F70" s="568" t="s">
        <v>757</v>
      </c>
      <c r="G70" s="569">
        <v>125</v>
      </c>
      <c r="H70" s="570">
        <f t="shared" si="2"/>
        <v>520750</v>
      </c>
      <c r="I70" s="571"/>
      <c r="J70" s="589"/>
      <c r="K70" s="571"/>
    </row>
    <row r="71" spans="1:11">
      <c r="A71" s="565"/>
      <c r="B71" s="566"/>
      <c r="C71" s="566"/>
      <c r="D71" s="592" t="s">
        <v>769</v>
      </c>
      <c r="E71" s="567">
        <v>2007</v>
      </c>
      <c r="F71" s="568" t="s">
        <v>757</v>
      </c>
      <c r="G71" s="569">
        <v>150</v>
      </c>
      <c r="H71" s="570">
        <f t="shared" si="2"/>
        <v>301050</v>
      </c>
      <c r="I71" s="571"/>
      <c r="J71" s="589"/>
      <c r="K71" s="571"/>
    </row>
    <row r="72" spans="1:11">
      <c r="A72" s="565"/>
      <c r="B72" s="566"/>
      <c r="C72" s="566"/>
      <c r="D72" s="592" t="s">
        <v>770</v>
      </c>
      <c r="E72" s="567">
        <v>19894</v>
      </c>
      <c r="F72" s="568" t="s">
        <v>757</v>
      </c>
      <c r="G72" s="569">
        <v>100</v>
      </c>
      <c r="H72" s="570">
        <f t="shared" si="2"/>
        <v>1989400</v>
      </c>
      <c r="I72" s="571"/>
      <c r="J72" s="589"/>
      <c r="K72" s="571"/>
    </row>
    <row r="73" spans="1:11">
      <c r="A73" s="565"/>
      <c r="B73" s="566"/>
      <c r="C73" s="566"/>
      <c r="D73" s="592" t="s">
        <v>771</v>
      </c>
      <c r="E73" s="567">
        <v>603</v>
      </c>
      <c r="F73" s="568" t="s">
        <v>757</v>
      </c>
      <c r="G73" s="569">
        <v>150</v>
      </c>
      <c r="H73" s="570">
        <f t="shared" si="2"/>
        <v>90450</v>
      </c>
      <c r="I73" s="571"/>
      <c r="J73" s="589"/>
      <c r="K73" s="571"/>
    </row>
    <row r="74" spans="1:11">
      <c r="A74" s="565"/>
      <c r="B74" s="566"/>
      <c r="C74" s="566"/>
      <c r="D74" s="592" t="s">
        <v>772</v>
      </c>
      <c r="E74" s="567">
        <v>20816</v>
      </c>
      <c r="F74" s="568" t="s">
        <v>757</v>
      </c>
      <c r="G74" s="569">
        <v>100</v>
      </c>
      <c r="H74" s="570">
        <f t="shared" si="2"/>
        <v>2081600</v>
      </c>
      <c r="I74" s="571"/>
      <c r="J74" s="589"/>
      <c r="K74" s="571"/>
    </row>
    <row r="75" spans="1:11">
      <c r="A75" s="565"/>
      <c r="B75" s="566"/>
      <c r="C75" s="566"/>
      <c r="D75" s="592" t="s">
        <v>773</v>
      </c>
      <c r="E75" s="567">
        <v>950</v>
      </c>
      <c r="F75" s="568" t="s">
        <v>757</v>
      </c>
      <c r="G75" s="569">
        <v>150</v>
      </c>
      <c r="H75" s="570">
        <f t="shared" si="2"/>
        <v>142500</v>
      </c>
      <c r="I75" s="571"/>
      <c r="J75" s="589"/>
      <c r="K75" s="571"/>
    </row>
    <row r="76" spans="1:11">
      <c r="A76" s="565"/>
      <c r="B76" s="566"/>
      <c r="C76" s="566"/>
      <c r="D76" s="592" t="s">
        <v>774</v>
      </c>
      <c r="E76" s="567">
        <v>15189</v>
      </c>
      <c r="F76" s="568" t="s">
        <v>757</v>
      </c>
      <c r="G76" s="569">
        <v>100</v>
      </c>
      <c r="H76" s="570">
        <f t="shared" si="2"/>
        <v>1518900</v>
      </c>
      <c r="I76" s="571"/>
      <c r="J76" s="589"/>
      <c r="K76" s="571"/>
    </row>
    <row r="77" spans="1:11">
      <c r="A77" s="565"/>
      <c r="B77" s="566"/>
      <c r="C77" s="566"/>
      <c r="D77" s="592" t="s">
        <v>775</v>
      </c>
      <c r="E77" s="567">
        <v>3315</v>
      </c>
      <c r="F77" s="568" t="s">
        <v>757</v>
      </c>
      <c r="G77" s="569">
        <v>100</v>
      </c>
      <c r="H77" s="570">
        <f t="shared" si="2"/>
        <v>331500</v>
      </c>
      <c r="I77" s="571"/>
      <c r="J77" s="589"/>
      <c r="K77" s="571"/>
    </row>
    <row r="78" spans="1:11">
      <c r="A78" s="565"/>
      <c r="B78" s="566"/>
      <c r="C78" s="566"/>
      <c r="D78" s="592" t="s">
        <v>776</v>
      </c>
      <c r="E78" s="567">
        <v>2705</v>
      </c>
      <c r="F78" s="568" t="s">
        <v>757</v>
      </c>
      <c r="G78" s="569">
        <v>150</v>
      </c>
      <c r="H78" s="570">
        <f t="shared" si="2"/>
        <v>405750</v>
      </c>
      <c r="I78" s="571"/>
      <c r="J78" s="589"/>
      <c r="K78" s="571"/>
    </row>
    <row r="79" spans="1:11">
      <c r="A79" s="565"/>
      <c r="B79" s="566"/>
      <c r="C79" s="566"/>
      <c r="D79" s="592" t="s">
        <v>777</v>
      </c>
      <c r="E79" s="567">
        <v>2256</v>
      </c>
      <c r="F79" s="568" t="s">
        <v>757</v>
      </c>
      <c r="G79" s="569">
        <v>150</v>
      </c>
      <c r="H79" s="570">
        <f t="shared" si="2"/>
        <v>338400</v>
      </c>
      <c r="I79" s="571"/>
      <c r="J79" s="589"/>
      <c r="K79" s="571"/>
    </row>
    <row r="80" spans="1:11">
      <c r="A80" s="565"/>
      <c r="B80" s="566"/>
      <c r="C80" s="566"/>
      <c r="D80" s="592" t="s">
        <v>778</v>
      </c>
      <c r="E80" s="567">
        <v>1158</v>
      </c>
      <c r="F80" s="568" t="s">
        <v>757</v>
      </c>
      <c r="G80" s="569">
        <v>150</v>
      </c>
      <c r="H80" s="570">
        <f t="shared" si="2"/>
        <v>173700</v>
      </c>
      <c r="I80" s="571"/>
      <c r="J80" s="589"/>
      <c r="K80" s="571"/>
    </row>
    <row r="81" spans="1:11">
      <c r="A81" s="565"/>
      <c r="B81" s="566"/>
      <c r="C81" s="566"/>
      <c r="D81" s="592" t="s">
        <v>779</v>
      </c>
      <c r="E81" s="567">
        <v>393</v>
      </c>
      <c r="F81" s="568" t="s">
        <v>757</v>
      </c>
      <c r="G81" s="569">
        <v>150</v>
      </c>
      <c r="H81" s="570">
        <f t="shared" si="2"/>
        <v>58950</v>
      </c>
      <c r="I81" s="571"/>
      <c r="J81" s="589"/>
      <c r="K81" s="571"/>
    </row>
    <row r="82" spans="1:11">
      <c r="A82" s="565"/>
      <c r="B82" s="566"/>
      <c r="C82" s="566"/>
      <c r="D82" s="592" t="s">
        <v>780</v>
      </c>
      <c r="E82" s="567">
        <v>1619</v>
      </c>
      <c r="F82" s="568" t="s">
        <v>757</v>
      </c>
      <c r="G82" s="569">
        <v>150</v>
      </c>
      <c r="H82" s="575">
        <f t="shared" si="2"/>
        <v>242850</v>
      </c>
      <c r="I82" s="571"/>
      <c r="J82" s="589"/>
      <c r="K82" s="571"/>
    </row>
    <row r="83" spans="1:11">
      <c r="A83" s="565"/>
      <c r="B83" s="566"/>
      <c r="C83" s="566"/>
      <c r="D83" s="592" t="s">
        <v>781</v>
      </c>
      <c r="E83" s="567">
        <v>4171</v>
      </c>
      <c r="F83" s="568" t="s">
        <v>757</v>
      </c>
      <c r="G83" s="569">
        <v>125</v>
      </c>
      <c r="H83" s="575">
        <f t="shared" si="2"/>
        <v>521375</v>
      </c>
      <c r="I83" s="571"/>
      <c r="J83" s="589"/>
      <c r="K83" s="571"/>
    </row>
    <row r="84" spans="1:11">
      <c r="A84" s="565"/>
      <c r="B84" s="566"/>
      <c r="C84" s="566"/>
      <c r="D84" s="592" t="s">
        <v>782</v>
      </c>
      <c r="E84" s="567">
        <v>2924</v>
      </c>
      <c r="F84" s="568" t="s">
        <v>757</v>
      </c>
      <c r="G84" s="569">
        <v>125</v>
      </c>
      <c r="H84" s="575">
        <f t="shared" si="2"/>
        <v>365500</v>
      </c>
      <c r="I84" s="571"/>
      <c r="J84" s="589"/>
      <c r="K84" s="571"/>
    </row>
    <row r="85" spans="1:11">
      <c r="A85" s="565"/>
      <c r="B85" s="566"/>
      <c r="C85" s="566"/>
      <c r="D85" s="592" t="s">
        <v>783</v>
      </c>
      <c r="E85" s="567">
        <v>94</v>
      </c>
      <c r="F85" s="568" t="s">
        <v>757</v>
      </c>
      <c r="G85" s="569">
        <v>150</v>
      </c>
      <c r="H85" s="575">
        <f t="shared" si="2"/>
        <v>14100</v>
      </c>
      <c r="I85" s="571"/>
      <c r="J85" s="589"/>
      <c r="K85" s="571"/>
    </row>
    <row r="86" spans="1:11">
      <c r="A86" s="565"/>
      <c r="B86" s="566"/>
      <c r="C86" s="566"/>
      <c r="D86" s="592" t="s">
        <v>784</v>
      </c>
      <c r="E86" s="567">
        <v>6624</v>
      </c>
      <c r="F86" s="568" t="s">
        <v>757</v>
      </c>
      <c r="G86" s="569">
        <v>125</v>
      </c>
      <c r="H86" s="575">
        <f t="shared" si="2"/>
        <v>828000</v>
      </c>
      <c r="I86" s="571"/>
      <c r="J86" s="589"/>
      <c r="K86" s="571"/>
    </row>
    <row r="87" spans="1:11">
      <c r="A87" s="565"/>
      <c r="B87" s="566"/>
      <c r="C87" s="566"/>
      <c r="D87" s="592" t="s">
        <v>785</v>
      </c>
      <c r="E87" s="593">
        <v>19156</v>
      </c>
      <c r="F87" s="568" t="s">
        <v>757</v>
      </c>
      <c r="G87" s="569">
        <v>100</v>
      </c>
      <c r="H87" s="575">
        <f t="shared" si="2"/>
        <v>1915600</v>
      </c>
      <c r="I87" s="571"/>
      <c r="J87" s="589"/>
      <c r="K87" s="571"/>
    </row>
    <row r="88" spans="1:11">
      <c r="A88" s="565"/>
      <c r="B88" s="566"/>
      <c r="C88" s="566"/>
      <c r="D88" s="592"/>
      <c r="E88" s="594"/>
      <c r="F88" s="568"/>
      <c r="G88" s="569"/>
      <c r="H88" s="575"/>
      <c r="I88" s="571"/>
      <c r="J88" s="571"/>
      <c r="K88" s="571"/>
    </row>
    <row r="89" spans="1:11">
      <c r="A89" s="565"/>
      <c r="B89" s="566"/>
      <c r="C89" s="566"/>
      <c r="D89" s="573" t="s">
        <v>786</v>
      </c>
      <c r="E89" s="593">
        <v>13349.4</v>
      </c>
      <c r="F89" s="568" t="s">
        <v>725</v>
      </c>
      <c r="G89" s="569">
        <v>100</v>
      </c>
      <c r="H89" s="575">
        <f>SUM(E89*G89)</f>
        <v>1334940</v>
      </c>
      <c r="I89" s="571"/>
      <c r="J89" s="571"/>
      <c r="K89" s="571"/>
    </row>
    <row r="90" spans="1:11">
      <c r="A90" s="565"/>
      <c r="B90" s="566"/>
      <c r="C90" s="566"/>
      <c r="D90" s="592"/>
      <c r="E90" s="593"/>
      <c r="F90" s="568"/>
      <c r="G90" s="569"/>
      <c r="H90" s="575"/>
      <c r="I90" s="571"/>
      <c r="J90" s="571"/>
      <c r="K90" s="571"/>
    </row>
    <row r="91" spans="1:11">
      <c r="A91" s="565"/>
      <c r="B91" s="566"/>
      <c r="C91" s="566"/>
      <c r="D91" s="595" t="s">
        <v>787</v>
      </c>
      <c r="E91" s="567"/>
      <c r="F91" s="568"/>
      <c r="G91" s="569"/>
      <c r="H91" s="570"/>
      <c r="I91" s="571"/>
      <c r="J91" s="571"/>
      <c r="K91" s="571"/>
    </row>
    <row r="92" spans="1:11" ht="30">
      <c r="A92" s="576"/>
      <c r="B92" s="577"/>
      <c r="C92" s="596"/>
      <c r="D92" s="597" t="s">
        <v>788</v>
      </c>
      <c r="E92" s="598">
        <v>119</v>
      </c>
      <c r="F92" s="568" t="s">
        <v>725</v>
      </c>
      <c r="G92" s="599">
        <f>+(4*9+3*2*12)*60</f>
        <v>6480</v>
      </c>
      <c r="H92" s="600">
        <f t="shared" ref="H92:H104" si="3">SUM(E92*G92)</f>
        <v>771120</v>
      </c>
      <c r="I92" s="571"/>
      <c r="J92" s="571"/>
      <c r="K92" s="571"/>
    </row>
    <row r="93" spans="1:11" ht="25.5">
      <c r="A93" s="565"/>
      <c r="B93" s="566"/>
      <c r="C93" s="572"/>
      <c r="D93" s="601" t="s">
        <v>789</v>
      </c>
      <c r="E93" s="598">
        <v>267</v>
      </c>
      <c r="F93" s="568" t="s">
        <v>725</v>
      </c>
      <c r="G93" s="599">
        <f>+(2*6+2*7)*60</f>
        <v>1560</v>
      </c>
      <c r="H93" s="600">
        <f t="shared" si="3"/>
        <v>416520</v>
      </c>
      <c r="I93" s="571"/>
      <c r="J93" s="571"/>
      <c r="K93" s="571"/>
    </row>
    <row r="94" spans="1:11" ht="25.5">
      <c r="A94" s="565"/>
      <c r="B94" s="566"/>
      <c r="C94" s="572"/>
      <c r="D94" s="601" t="s">
        <v>790</v>
      </c>
      <c r="E94" s="598">
        <v>99</v>
      </c>
      <c r="F94" s="568" t="s">
        <v>725</v>
      </c>
      <c r="G94" s="599">
        <f>+(2*8+2*7)*60</f>
        <v>1800</v>
      </c>
      <c r="H94" s="600">
        <f t="shared" si="3"/>
        <v>178200</v>
      </c>
      <c r="I94" s="571"/>
      <c r="J94" s="571"/>
      <c r="K94" s="571"/>
    </row>
    <row r="95" spans="1:11" ht="30">
      <c r="A95" s="576"/>
      <c r="B95" s="577"/>
      <c r="C95" s="596"/>
      <c r="D95" s="597" t="s">
        <v>791</v>
      </c>
      <c r="E95" s="598">
        <v>43</v>
      </c>
      <c r="F95" s="568" t="s">
        <v>725</v>
      </c>
      <c r="G95" s="599">
        <f>+(4*9+3*2*11)*90</f>
        <v>9180</v>
      </c>
      <c r="H95" s="600">
        <f t="shared" si="3"/>
        <v>394740</v>
      </c>
      <c r="I95" s="571"/>
      <c r="J95" s="571"/>
      <c r="K95" s="571"/>
    </row>
    <row r="96" spans="1:11" ht="25.5">
      <c r="A96" s="565"/>
      <c r="B96" s="566"/>
      <c r="C96" s="572"/>
      <c r="D96" s="601" t="s">
        <v>792</v>
      </c>
      <c r="E96" s="598">
        <v>89</v>
      </c>
      <c r="F96" s="568" t="s">
        <v>725</v>
      </c>
      <c r="G96" s="599">
        <f>275*2+300</f>
        <v>850</v>
      </c>
      <c r="H96" s="600">
        <f t="shared" si="3"/>
        <v>75650</v>
      </c>
      <c r="I96" s="571"/>
      <c r="J96" s="571"/>
      <c r="K96" s="571"/>
    </row>
    <row r="97" spans="1:11" ht="25.5">
      <c r="A97" s="565"/>
      <c r="B97" s="566"/>
      <c r="C97" s="572"/>
      <c r="D97" s="601" t="s">
        <v>793</v>
      </c>
      <c r="E97" s="598">
        <v>141</v>
      </c>
      <c r="F97" s="568" t="s">
        <v>725</v>
      </c>
      <c r="G97" s="599">
        <f>+(3*8+2*2*10)*60</f>
        <v>3840</v>
      </c>
      <c r="H97" s="600">
        <f t="shared" si="3"/>
        <v>541440</v>
      </c>
      <c r="I97" s="571"/>
      <c r="J97" s="571"/>
      <c r="K97" s="571"/>
    </row>
    <row r="98" spans="1:11" ht="38.25">
      <c r="A98" s="565"/>
      <c r="B98" s="566"/>
      <c r="C98" s="572"/>
      <c r="D98" s="601" t="s">
        <v>794</v>
      </c>
      <c r="E98" s="598">
        <v>65</v>
      </c>
      <c r="F98" s="568" t="s">
        <v>725</v>
      </c>
      <c r="G98" s="599">
        <f>275*2+300</f>
        <v>850</v>
      </c>
      <c r="H98" s="600">
        <f t="shared" si="3"/>
        <v>55250</v>
      </c>
      <c r="I98" s="571"/>
      <c r="J98" s="571"/>
      <c r="K98" s="571"/>
    </row>
    <row r="99" spans="1:11" ht="27.6" customHeight="1">
      <c r="A99" s="565"/>
      <c r="B99" s="566"/>
      <c r="C99" s="572"/>
      <c r="D99" s="601" t="s">
        <v>795</v>
      </c>
      <c r="E99" s="598">
        <v>82</v>
      </c>
      <c r="F99" s="568" t="s">
        <v>725</v>
      </c>
      <c r="G99" s="599">
        <f>+(2*8+2*9)*60</f>
        <v>2040</v>
      </c>
      <c r="H99" s="600">
        <f t="shared" si="3"/>
        <v>167280</v>
      </c>
      <c r="I99" s="571"/>
      <c r="J99" s="571"/>
      <c r="K99" s="571"/>
    </row>
    <row r="100" spans="1:11" ht="27.6" customHeight="1">
      <c r="A100" s="565"/>
      <c r="B100" s="566"/>
      <c r="C100" s="572"/>
      <c r="D100" s="601" t="s">
        <v>796</v>
      </c>
      <c r="E100" s="598">
        <v>242</v>
      </c>
      <c r="F100" s="568" t="s">
        <v>725</v>
      </c>
      <c r="G100" s="599">
        <f>+(2*8+2*7)*60</f>
        <v>1800</v>
      </c>
      <c r="H100" s="600">
        <f t="shared" si="3"/>
        <v>435600</v>
      </c>
      <c r="I100" s="571"/>
      <c r="J100" s="571"/>
      <c r="K100" s="571"/>
    </row>
    <row r="101" spans="1:11" ht="27.6" customHeight="1">
      <c r="A101" s="565"/>
      <c r="B101" s="566"/>
      <c r="C101" s="572"/>
      <c r="D101" s="601" t="s">
        <v>797</v>
      </c>
      <c r="E101" s="598">
        <v>195</v>
      </c>
      <c r="F101" s="568" t="s">
        <v>725</v>
      </c>
      <c r="G101" s="599">
        <f>+(2*6+2*7)*60</f>
        <v>1560</v>
      </c>
      <c r="H101" s="600">
        <f t="shared" si="3"/>
        <v>304200</v>
      </c>
      <c r="I101" s="571"/>
      <c r="J101" s="571"/>
      <c r="K101" s="571"/>
    </row>
    <row r="102" spans="1:11" ht="27.6" customHeight="1">
      <c r="A102" s="565"/>
      <c r="B102" s="566"/>
      <c r="C102" s="572"/>
      <c r="D102" s="601" t="s">
        <v>798</v>
      </c>
      <c r="E102" s="598">
        <v>98</v>
      </c>
      <c r="F102" s="568" t="s">
        <v>725</v>
      </c>
      <c r="G102" s="599">
        <f>+(2*6+2*7)*60</f>
        <v>1560</v>
      </c>
      <c r="H102" s="600">
        <f t="shared" si="3"/>
        <v>152880</v>
      </c>
      <c r="I102" s="571"/>
      <c r="J102" s="571"/>
      <c r="K102" s="571"/>
    </row>
    <row r="103" spans="1:11" ht="27.6" customHeight="1">
      <c r="A103" s="565"/>
      <c r="B103" s="566"/>
      <c r="C103" s="572"/>
      <c r="D103" s="601" t="s">
        <v>799</v>
      </c>
      <c r="E103" s="598">
        <v>91</v>
      </c>
      <c r="F103" s="568" t="s">
        <v>725</v>
      </c>
      <c r="G103" s="599">
        <f>+(4*9+3*2*10)*90</f>
        <v>8640</v>
      </c>
      <c r="H103" s="600">
        <f t="shared" si="3"/>
        <v>786240</v>
      </c>
      <c r="I103" s="571"/>
      <c r="J103" s="571"/>
      <c r="K103" s="571"/>
    </row>
    <row r="104" spans="1:11" ht="27.6" customHeight="1">
      <c r="A104" s="565"/>
      <c r="B104" s="566"/>
      <c r="C104" s="566"/>
      <c r="D104" s="601" t="s">
        <v>800</v>
      </c>
      <c r="E104" s="598">
        <v>224</v>
      </c>
      <c r="F104" s="568" t="s">
        <v>725</v>
      </c>
      <c r="G104" s="599">
        <f>+(2*6+2*7)*60</f>
        <v>1560</v>
      </c>
      <c r="H104" s="600">
        <f t="shared" si="3"/>
        <v>349440</v>
      </c>
      <c r="I104" s="571"/>
      <c r="J104" s="571"/>
      <c r="K104" s="571"/>
    </row>
    <row r="105" spans="1:11">
      <c r="A105" s="565"/>
      <c r="B105" s="566"/>
      <c r="C105" s="566"/>
      <c r="D105" s="592"/>
      <c r="E105" s="593"/>
      <c r="F105" s="568"/>
      <c r="G105" s="569"/>
      <c r="H105" s="575"/>
      <c r="I105" s="571"/>
      <c r="J105" s="571"/>
      <c r="K105" s="571"/>
    </row>
    <row r="106" spans="1:11">
      <c r="A106" s="565"/>
      <c r="B106" s="566"/>
      <c r="C106" s="566"/>
      <c r="D106" s="595"/>
      <c r="E106" s="567"/>
      <c r="F106" s="568"/>
      <c r="G106" s="569"/>
      <c r="H106" s="570"/>
      <c r="I106" s="571"/>
      <c r="J106" s="571"/>
      <c r="K106" s="571"/>
    </row>
    <row r="107" spans="1:11">
      <c r="A107" s="565"/>
      <c r="B107" s="566"/>
      <c r="C107" s="566"/>
      <c r="D107" s="601"/>
      <c r="E107" s="567"/>
      <c r="F107" s="568"/>
      <c r="G107" s="569"/>
      <c r="H107" s="600"/>
      <c r="I107" s="571"/>
      <c r="J107" s="571"/>
      <c r="K107" s="571"/>
    </row>
    <row r="108" spans="1:11">
      <c r="A108" s="565"/>
      <c r="B108" s="566"/>
      <c r="C108" s="566"/>
      <c r="D108" s="601"/>
      <c r="E108" s="567"/>
      <c r="F108" s="568"/>
      <c r="G108" s="569"/>
      <c r="H108" s="600"/>
      <c r="I108" s="571"/>
      <c r="J108" s="571"/>
      <c r="K108" s="571"/>
    </row>
    <row r="109" spans="1:11">
      <c r="A109" s="565"/>
      <c r="B109" s="566"/>
      <c r="C109" s="566"/>
      <c r="D109" s="595"/>
      <c r="E109" s="567"/>
      <c r="F109" s="568"/>
      <c r="G109" s="569"/>
      <c r="H109" s="570"/>
      <c r="I109" s="571"/>
      <c r="J109" s="571"/>
      <c r="K109" s="571"/>
    </row>
    <row r="110" spans="1:11">
      <c r="A110" s="565"/>
      <c r="B110" s="566"/>
      <c r="C110" s="566"/>
      <c r="D110" s="601"/>
      <c r="E110" s="598"/>
      <c r="F110" s="568"/>
      <c r="G110" s="599"/>
      <c r="H110" s="600"/>
      <c r="I110" s="571"/>
      <c r="J110" s="571"/>
      <c r="K110" s="571"/>
    </row>
    <row r="111" spans="1:11" ht="15">
      <c r="A111" s="565"/>
      <c r="B111" s="566"/>
      <c r="C111" s="566"/>
      <c r="D111" s="566" t="s">
        <v>803</v>
      </c>
      <c r="E111" s="567">
        <v>1</v>
      </c>
      <c r="F111" s="568" t="s">
        <v>802</v>
      </c>
      <c r="G111" s="569"/>
      <c r="H111" s="602">
        <f>ROUND(J111*K111,-3)</f>
        <v>3238000</v>
      </c>
      <c r="I111" s="603"/>
      <c r="J111" s="604">
        <f>SUM(H60:H110)</f>
        <v>21586325</v>
      </c>
      <c r="K111" s="603">
        <v>0.15</v>
      </c>
    </row>
    <row r="112" spans="1:11" ht="15.75" thickBot="1">
      <c r="A112" s="605"/>
      <c r="B112" s="606"/>
      <c r="C112" s="606"/>
      <c r="D112" s="606" t="s">
        <v>804</v>
      </c>
      <c r="E112" s="607">
        <v>1</v>
      </c>
      <c r="F112" s="608" t="s">
        <v>802</v>
      </c>
      <c r="G112" s="606"/>
      <c r="H112" s="609">
        <f>H113-J112-J111-H111</f>
        <v>19998258</v>
      </c>
      <c r="I112" s="603"/>
      <c r="J112" s="604">
        <f>SUM(H$10:H110)-J111</f>
        <v>44440417</v>
      </c>
      <c r="K112" s="603">
        <v>0.45</v>
      </c>
    </row>
    <row r="113" spans="1:17" ht="15.75" thickTop="1">
      <c r="A113" s="610" t="s">
        <v>805</v>
      </c>
      <c r="B113" s="610"/>
      <c r="C113" s="571"/>
      <c r="D113" s="611" t="s">
        <v>806</v>
      </c>
      <c r="E113" s="612" t="s">
        <v>807</v>
      </c>
      <c r="F113" s="613" t="s">
        <v>807</v>
      </c>
      <c r="G113" s="571" t="s">
        <v>807</v>
      </c>
      <c r="H113" s="614">
        <f>ROUNDUP(J112*(1+K112)+J111*(1+K111),-3)</f>
        <v>89263000</v>
      </c>
      <c r="I113" s="603"/>
      <c r="J113" s="603"/>
      <c r="K113" s="603"/>
    </row>
    <row r="114" spans="1:17" ht="15">
      <c r="A114" s="571"/>
      <c r="B114" s="571"/>
      <c r="C114" s="571"/>
      <c r="D114" s="615" t="s">
        <v>808</v>
      </c>
      <c r="E114" s="612" t="s">
        <v>807</v>
      </c>
      <c r="F114" s="613" t="s">
        <v>807</v>
      </c>
      <c r="G114" s="571" t="s">
        <v>807</v>
      </c>
      <c r="H114" s="616">
        <f>H115-H113</f>
        <v>13437000</v>
      </c>
      <c r="I114" s="603"/>
      <c r="J114" s="603"/>
      <c r="K114" s="603">
        <v>1.1499999999999999</v>
      </c>
    </row>
    <row r="115" spans="1:17" ht="15">
      <c r="A115" s="571"/>
      <c r="B115" s="571"/>
      <c r="C115" s="571"/>
      <c r="D115" s="611" t="s">
        <v>809</v>
      </c>
      <c r="E115" s="612" t="s">
        <v>807</v>
      </c>
      <c r="F115" s="613" t="s">
        <v>807</v>
      </c>
      <c r="G115" s="571" t="s">
        <v>807</v>
      </c>
      <c r="H115" s="617">
        <f>ROUNDUP(H113*K114/K115,0)*K115</f>
        <v>102700000</v>
      </c>
      <c r="I115" s="603"/>
      <c r="J115" s="603"/>
      <c r="K115" s="604">
        <v>100000</v>
      </c>
    </row>
    <row r="119" spans="1:17" ht="15">
      <c r="D119" s="217" t="s">
        <v>470</v>
      </c>
      <c r="H119" s="218">
        <f>SUM(H12:H58,H112)</f>
        <v>64438675</v>
      </c>
    </row>
    <row r="120" spans="1:17" ht="15">
      <c r="D120" s="219" t="s">
        <v>471</v>
      </c>
      <c r="H120" s="220">
        <f>SUM(H61:H108,H111)</f>
        <v>24824325</v>
      </c>
    </row>
    <row r="121" spans="1:17" s="571" customFormat="1" ht="15">
      <c r="A121" s="624"/>
      <c r="B121" s="624"/>
      <c r="C121" s="624"/>
      <c r="D121" s="625"/>
      <c r="E121" s="626"/>
      <c r="F121" s="627"/>
      <c r="G121" s="624"/>
      <c r="H121" s="628"/>
      <c r="I121" s="624"/>
      <c r="J121" s="624"/>
      <c r="K121" s="624"/>
      <c r="L121" s="624"/>
      <c r="M121" s="624"/>
    </row>
    <row r="122" spans="1:17" ht="15">
      <c r="D122" s="219" t="s">
        <v>903</v>
      </c>
      <c r="F122" s="542"/>
      <c r="H122" s="220">
        <f>H115</f>
        <v>102700000</v>
      </c>
    </row>
    <row r="123" spans="1:17" ht="15">
      <c r="D123" s="221" t="s">
        <v>882</v>
      </c>
      <c r="H123" s="222">
        <v>2600000</v>
      </c>
    </row>
    <row r="124" spans="1:17" ht="15">
      <c r="D124" s="618" t="s">
        <v>883</v>
      </c>
      <c r="F124" s="542"/>
      <c r="H124" s="619">
        <f>ROUNDUP((AA14),-5)</f>
        <v>13600000</v>
      </c>
    </row>
    <row r="125" spans="1:17" ht="15">
      <c r="D125" s="328" t="s">
        <v>458</v>
      </c>
      <c r="H125" s="330">
        <f>ROUND(S48,-5)</f>
        <v>6600000</v>
      </c>
    </row>
    <row r="126" spans="1:17" ht="15">
      <c r="D126" s="329" t="s">
        <v>27</v>
      </c>
      <c r="H126" s="331">
        <f>ROUND(((H122+H123)*0.1),-5)</f>
        <v>10500000</v>
      </c>
      <c r="Q126" s="631"/>
    </row>
    <row r="127" spans="1:17">
      <c r="H127" s="487">
        <f>SUM(H122:H126)</f>
        <v>136000000</v>
      </c>
      <c r="Q127" s="631"/>
    </row>
    <row r="128" spans="1:17">
      <c r="Q128" s="631"/>
    </row>
    <row r="129" spans="1:17">
      <c r="Q129" s="631"/>
    </row>
    <row r="130" spans="1:17">
      <c r="Q130" s="631"/>
    </row>
    <row r="131" spans="1:17">
      <c r="A131" s="525"/>
      <c r="B131" s="526"/>
      <c r="C131" s="526"/>
      <c r="D131" s="497" t="s">
        <v>829</v>
      </c>
      <c r="E131" s="528"/>
      <c r="F131" s="529"/>
      <c r="G131" s="530"/>
      <c r="H131" s="531"/>
      <c r="Q131" s="631"/>
    </row>
    <row r="132" spans="1:17">
      <c r="A132" s="525"/>
      <c r="B132" s="526"/>
      <c r="C132" s="526"/>
      <c r="D132" s="498" t="s">
        <v>830</v>
      </c>
      <c r="E132" s="528">
        <v>1</v>
      </c>
      <c r="F132" s="493" t="s">
        <v>742</v>
      </c>
      <c r="G132" s="494">
        <v>5000</v>
      </c>
      <c r="H132" s="495">
        <f>SUM(E132*G132)</f>
        <v>5000</v>
      </c>
      <c r="Q132" s="631"/>
    </row>
    <row r="133" spans="1:17">
      <c r="A133" s="525"/>
      <c r="B133" s="526"/>
      <c r="C133" s="526"/>
      <c r="D133" s="498" t="s">
        <v>831</v>
      </c>
      <c r="E133" s="528">
        <v>6</v>
      </c>
      <c r="F133" s="493" t="s">
        <v>742</v>
      </c>
      <c r="G133" s="494">
        <v>6000</v>
      </c>
      <c r="H133" s="495">
        <f>SUM(E133*G133)</f>
        <v>36000</v>
      </c>
    </row>
    <row r="134" spans="1:17">
      <c r="A134" s="525"/>
      <c r="B134" s="526"/>
      <c r="C134" s="526"/>
      <c r="D134" s="498" t="s">
        <v>832</v>
      </c>
      <c r="E134" s="528">
        <v>2</v>
      </c>
      <c r="F134" s="493" t="s">
        <v>742</v>
      </c>
      <c r="G134" s="494">
        <v>160000</v>
      </c>
      <c r="H134" s="495">
        <f>SUM(E134*G134)</f>
        <v>320000</v>
      </c>
    </row>
    <row r="135" spans="1:17">
      <c r="A135" s="525"/>
      <c r="B135" s="526"/>
      <c r="C135" s="526"/>
      <c r="D135" s="527"/>
      <c r="E135" s="528"/>
      <c r="F135" s="529"/>
      <c r="G135" s="530"/>
      <c r="H135" s="531"/>
    </row>
    <row r="136" spans="1:17">
      <c r="A136" s="525"/>
      <c r="B136" s="526"/>
      <c r="C136" s="526"/>
      <c r="D136" s="532" t="s">
        <v>833</v>
      </c>
      <c r="E136" s="533">
        <v>20</v>
      </c>
      <c r="F136" s="493" t="s">
        <v>729</v>
      </c>
      <c r="G136" s="494">
        <v>80000</v>
      </c>
      <c r="H136" s="495">
        <f>SUM(E136*G136)</f>
        <v>1600000</v>
      </c>
    </row>
  </sheetData>
  <sheetProtection selectLockedCells="1" selectUnlockedCells="1"/>
  <mergeCells count="34">
    <mergeCell ref="V14:Z14"/>
    <mergeCell ref="AA14:AC14"/>
    <mergeCell ref="V1:AC1"/>
    <mergeCell ref="V11:Z11"/>
    <mergeCell ref="AB11:AC11"/>
    <mergeCell ref="V12:Z12"/>
    <mergeCell ref="AA12:AC12"/>
    <mergeCell ref="V13:Z13"/>
    <mergeCell ref="AA13:AC13"/>
    <mergeCell ref="V8:Z8"/>
    <mergeCell ref="AB8:AC8"/>
    <mergeCell ref="V9:Z9"/>
    <mergeCell ref="AB9:AC9"/>
    <mergeCell ref="V10:Z10"/>
    <mergeCell ref="AB10:AC10"/>
    <mergeCell ref="V5:Z5"/>
    <mergeCell ref="AA5:AC5"/>
    <mergeCell ref="V6:Z6"/>
    <mergeCell ref="AB6:AC6"/>
    <mergeCell ref="V7:Z7"/>
    <mergeCell ref="AB7:AC7"/>
    <mergeCell ref="V2:Z2"/>
    <mergeCell ref="AA2:AC2"/>
    <mergeCell ref="V3:Z4"/>
    <mergeCell ref="AA3:AB3"/>
    <mergeCell ref="AA4:AB4"/>
    <mergeCell ref="A1:H1"/>
    <mergeCell ref="F7:G7"/>
    <mergeCell ref="S49:T50"/>
    <mergeCell ref="S48:T48"/>
    <mergeCell ref="M10:Q10"/>
    <mergeCell ref="S11:T12"/>
    <mergeCell ref="F8:G8"/>
    <mergeCell ref="L1:T1"/>
  </mergeCells>
  <printOptions horizontalCentered="1"/>
  <pageMargins left="0.1" right="0.1" top="1" bottom="1" header="0.25" footer="0.51180555555555551"/>
  <pageSetup scale="89" firstPageNumber="0" orientation="portrait" horizontalDpi="300" verticalDpi="300" r:id="rId1"/>
  <headerFooter alignWithMargins="0">
    <oddHeader>&amp;C&amp;"Times New Roman,Regular"North Carolina Department of Transportation
Preliminary Estimate</oddHeader>
  </headerFooter>
  <rowBreaks count="1" manualBreakCount="1">
    <brk id="47" max="7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6" tint="0.79998168889431442"/>
  </sheetPr>
  <dimension ref="A1:Q26"/>
  <sheetViews>
    <sheetView workbookViewId="0">
      <selection sqref="A1:F1"/>
    </sheetView>
  </sheetViews>
  <sheetFormatPr defaultColWidth="8.85546875" defaultRowHeight="15"/>
  <cols>
    <col min="1" max="1" width="8.85546875" style="212"/>
    <col min="2" max="2" width="13.7109375" style="212" bestFit="1" customWidth="1"/>
    <col min="3" max="3" width="14" style="212" customWidth="1"/>
    <col min="4" max="4" width="12.28515625" style="212" customWidth="1"/>
    <col min="5" max="5" width="15.28515625" style="212" customWidth="1"/>
    <col min="6" max="6" width="21.7109375" style="212" customWidth="1"/>
    <col min="7" max="8" width="6.7109375" style="212" customWidth="1"/>
    <col min="9" max="9" width="8.85546875" style="212"/>
    <col min="10" max="10" width="13.7109375" style="212" bestFit="1" customWidth="1"/>
    <col min="11" max="11" width="14" style="212" customWidth="1"/>
    <col min="12" max="12" width="12.28515625" style="212" customWidth="1"/>
    <col min="13" max="13" width="15.28515625" style="212" customWidth="1"/>
    <col min="14" max="14" width="21.7109375" style="212" customWidth="1"/>
    <col min="15" max="16" width="8.85546875" style="212"/>
    <col min="17" max="17" width="9.140625" style="212" bestFit="1" customWidth="1"/>
    <col min="18" max="16384" width="8.85546875" style="212"/>
  </cols>
  <sheetData>
    <row r="1" spans="1:17" ht="18.75">
      <c r="A1" s="756" t="s">
        <v>502</v>
      </c>
      <c r="B1" s="756"/>
      <c r="C1" s="756"/>
      <c r="D1" s="756"/>
      <c r="E1" s="756"/>
      <c r="F1" s="756"/>
      <c r="G1" s="376"/>
      <c r="H1" s="377"/>
      <c r="I1" s="756" t="s">
        <v>503</v>
      </c>
      <c r="J1" s="756"/>
      <c r="K1" s="756"/>
      <c r="L1" s="756"/>
      <c r="M1" s="756"/>
      <c r="N1" s="756"/>
    </row>
    <row r="2" spans="1:17" ht="15.75" thickBot="1">
      <c r="G2" s="376"/>
      <c r="H2" s="377"/>
    </row>
    <row r="3" spans="1:17" ht="20.100000000000001" customHeight="1" thickBot="1">
      <c r="E3" s="368" t="s">
        <v>490</v>
      </c>
      <c r="F3" s="369">
        <f>175000/SUM(E8:E11)</f>
        <v>0.11397503230378059</v>
      </c>
      <c r="G3" s="376"/>
      <c r="H3" s="377"/>
      <c r="I3" s="761" t="s">
        <v>501</v>
      </c>
      <c r="J3" s="762"/>
      <c r="K3" s="763"/>
      <c r="L3" s="370" t="s">
        <v>499</v>
      </c>
      <c r="M3" s="370" t="s">
        <v>28</v>
      </c>
      <c r="N3" s="371" t="s">
        <v>500</v>
      </c>
    </row>
    <row r="4" spans="1:17" ht="20.100000000000001" customHeight="1" thickBot="1">
      <c r="E4" s="343"/>
      <c r="F4" s="375"/>
      <c r="G4" s="376"/>
      <c r="H4" s="377"/>
      <c r="I4" s="764" t="s">
        <v>498</v>
      </c>
      <c r="J4" s="765"/>
      <c r="K4" s="765"/>
      <c r="L4" s="372">
        <v>2395008</v>
      </c>
      <c r="M4" s="373">
        <v>5450000</v>
      </c>
      <c r="N4" s="374">
        <f>M4/L4</f>
        <v>2.2755665116776229</v>
      </c>
    </row>
    <row r="5" spans="1:17" ht="20.100000000000001" customHeight="1">
      <c r="E5" s="343"/>
      <c r="F5" s="375"/>
      <c r="G5" s="376"/>
      <c r="H5" s="377"/>
    </row>
    <row r="6" spans="1:17" ht="15.75" thickBot="1">
      <c r="A6" s="675" t="s">
        <v>504</v>
      </c>
      <c r="B6" s="675"/>
      <c r="C6" s="675"/>
      <c r="D6" s="675"/>
      <c r="E6" s="675"/>
      <c r="F6" s="675"/>
      <c r="G6" s="376"/>
      <c r="H6" s="377"/>
      <c r="I6" s="675" t="s">
        <v>504</v>
      </c>
      <c r="J6" s="675"/>
      <c r="K6" s="675"/>
      <c r="L6" s="675"/>
      <c r="M6" s="675"/>
      <c r="N6" s="675"/>
    </row>
    <row r="7" spans="1:17" ht="15.75" thickBot="1">
      <c r="A7" s="356" t="s">
        <v>492</v>
      </c>
      <c r="B7" s="357" t="s">
        <v>493</v>
      </c>
      <c r="C7" s="357" t="s">
        <v>494</v>
      </c>
      <c r="D7" s="357" t="s">
        <v>495</v>
      </c>
      <c r="E7" s="357" t="s">
        <v>496</v>
      </c>
      <c r="F7" s="358" t="s">
        <v>469</v>
      </c>
      <c r="G7" s="376"/>
      <c r="H7" s="377"/>
      <c r="I7" s="356" t="s">
        <v>492</v>
      </c>
      <c r="J7" s="357" t="s">
        <v>493</v>
      </c>
      <c r="K7" s="357" t="s">
        <v>494</v>
      </c>
      <c r="L7" s="357" t="s">
        <v>495</v>
      </c>
      <c r="M7" s="357" t="s">
        <v>496</v>
      </c>
      <c r="N7" s="358" t="s">
        <v>498</v>
      </c>
    </row>
    <row r="8" spans="1:17">
      <c r="A8" s="759">
        <v>1</v>
      </c>
      <c r="B8" s="352" t="s">
        <v>475</v>
      </c>
      <c r="C8" s="352">
        <v>0.5</v>
      </c>
      <c r="D8" s="352">
        <v>36</v>
      </c>
      <c r="E8" s="362">
        <f>C8*5280*D8</f>
        <v>95040</v>
      </c>
      <c r="F8" s="363">
        <f>E8*$F$3</f>
        <v>10832.187070151307</v>
      </c>
      <c r="G8" s="376"/>
      <c r="H8" s="377"/>
      <c r="I8" s="759">
        <v>1</v>
      </c>
      <c r="J8" s="352" t="s">
        <v>475</v>
      </c>
      <c r="K8" s="352">
        <v>0.5</v>
      </c>
      <c r="L8" s="352">
        <v>36</v>
      </c>
      <c r="M8" s="362">
        <f>K8*5280*L8</f>
        <v>95040</v>
      </c>
      <c r="N8" s="363">
        <f>M8*$N$4</f>
        <v>216269.84126984127</v>
      </c>
      <c r="Q8" s="345"/>
    </row>
    <row r="9" spans="1:17">
      <c r="A9" s="760"/>
      <c r="B9" s="350" t="s">
        <v>464</v>
      </c>
      <c r="C9" s="350">
        <v>0.3</v>
      </c>
      <c r="D9" s="350">
        <v>24</v>
      </c>
      <c r="E9" s="351">
        <f t="shared" ref="E9:E11" si="0">C9*5280*D9</f>
        <v>38016</v>
      </c>
      <c r="F9" s="353">
        <f>E9*$F$3</f>
        <v>4332.8748280605232</v>
      </c>
      <c r="G9" s="376"/>
      <c r="H9" s="377"/>
      <c r="I9" s="760"/>
      <c r="J9" s="350" t="s">
        <v>464</v>
      </c>
      <c r="K9" s="350">
        <v>0.3</v>
      </c>
      <c r="L9" s="350">
        <v>24</v>
      </c>
      <c r="M9" s="351">
        <f t="shared" ref="M9:M11" si="1">K9*5280*L9</f>
        <v>38016</v>
      </c>
      <c r="N9" s="353">
        <f t="shared" ref="N9:N11" si="2">M9*$N$4</f>
        <v>86507.936507936509</v>
      </c>
    </row>
    <row r="10" spans="1:17">
      <c r="A10" s="354">
        <v>2</v>
      </c>
      <c r="B10" s="350" t="s">
        <v>464</v>
      </c>
      <c r="C10" s="350">
        <v>8.5</v>
      </c>
      <c r="D10" s="350">
        <v>24</v>
      </c>
      <c r="E10" s="351">
        <f t="shared" si="0"/>
        <v>1077120</v>
      </c>
      <c r="F10" s="353">
        <f>E10*$F$3</f>
        <v>122764.78679504814</v>
      </c>
      <c r="G10" s="376"/>
      <c r="H10" s="377"/>
      <c r="I10" s="354">
        <v>2</v>
      </c>
      <c r="J10" s="350" t="s">
        <v>464</v>
      </c>
      <c r="K10" s="350">
        <v>8.5</v>
      </c>
      <c r="L10" s="350">
        <v>24</v>
      </c>
      <c r="M10" s="351">
        <f t="shared" si="1"/>
        <v>1077120</v>
      </c>
      <c r="N10" s="353">
        <f t="shared" si="2"/>
        <v>2451058.201058201</v>
      </c>
    </row>
    <row r="11" spans="1:17" ht="20.100000000000001" customHeight="1" thickBot="1">
      <c r="A11" s="364">
        <v>3</v>
      </c>
      <c r="B11" s="355" t="s">
        <v>462</v>
      </c>
      <c r="C11" s="355">
        <v>2.8</v>
      </c>
      <c r="D11" s="355">
        <v>22</v>
      </c>
      <c r="E11" s="365">
        <f t="shared" si="0"/>
        <v>325247.99999999994</v>
      </c>
      <c r="F11" s="366">
        <f>E11*$F$3</f>
        <v>37070.151306740023</v>
      </c>
      <c r="G11" s="376"/>
      <c r="H11" s="377"/>
      <c r="I11" s="364">
        <v>3</v>
      </c>
      <c r="J11" s="355" t="s">
        <v>462</v>
      </c>
      <c r="K11" s="355">
        <v>2.8</v>
      </c>
      <c r="L11" s="355">
        <v>22</v>
      </c>
      <c r="M11" s="365">
        <f t="shared" si="1"/>
        <v>325247.99999999994</v>
      </c>
      <c r="N11" s="366">
        <f t="shared" si="2"/>
        <v>740123.45679012337</v>
      </c>
    </row>
    <row r="12" spans="1:17" ht="20.100000000000001" customHeight="1" thickBot="1">
      <c r="A12" s="757" t="s">
        <v>497</v>
      </c>
      <c r="B12" s="758"/>
      <c r="C12" s="359">
        <f>SUM(C8:C11)</f>
        <v>12.100000000000001</v>
      </c>
      <c r="D12" s="359"/>
      <c r="E12" s="360">
        <f>SUM(E8:E11)</f>
        <v>1535424</v>
      </c>
      <c r="F12" s="361">
        <f>SUM(F6:F11)</f>
        <v>175000</v>
      </c>
      <c r="G12" s="376"/>
      <c r="H12" s="377"/>
      <c r="I12" s="757" t="s">
        <v>497</v>
      </c>
      <c r="J12" s="758"/>
      <c r="K12" s="359">
        <f>SUM(K8:K11)</f>
        <v>12.100000000000001</v>
      </c>
      <c r="L12" s="359"/>
      <c r="M12" s="360">
        <f>SUM(M8:M11)</f>
        <v>1535424</v>
      </c>
      <c r="N12" s="361">
        <f>SUM(N6:N11)</f>
        <v>3493959.4356261017</v>
      </c>
    </row>
    <row r="13" spans="1:17">
      <c r="C13" s="344"/>
      <c r="D13" s="344"/>
      <c r="E13" s="346"/>
      <c r="F13" s="349"/>
      <c r="G13" s="376"/>
      <c r="H13" s="377"/>
    </row>
    <row r="14" spans="1:17">
      <c r="A14" s="675" t="s">
        <v>486</v>
      </c>
      <c r="B14" s="675"/>
      <c r="C14" s="675"/>
      <c r="D14" s="675"/>
      <c r="E14" s="675"/>
      <c r="F14" s="675"/>
      <c r="G14" s="376"/>
      <c r="H14" s="377"/>
    </row>
    <row r="15" spans="1:17" ht="15.75" thickBot="1">
      <c r="B15" s="675" t="s">
        <v>491</v>
      </c>
      <c r="C15" s="675"/>
      <c r="D15" s="675"/>
      <c r="E15" s="347">
        <v>0.2</v>
      </c>
      <c r="F15" s="348"/>
      <c r="G15" s="376"/>
      <c r="H15" s="377"/>
      <c r="I15" s="675" t="s">
        <v>486</v>
      </c>
      <c r="J15" s="675"/>
      <c r="K15" s="675"/>
      <c r="L15" s="675"/>
      <c r="M15" s="675"/>
      <c r="N15" s="675"/>
    </row>
    <row r="16" spans="1:17" ht="15.75" thickBot="1">
      <c r="A16" s="356" t="s">
        <v>492</v>
      </c>
      <c r="B16" s="357" t="s">
        <v>493</v>
      </c>
      <c r="C16" s="357" t="s">
        <v>494</v>
      </c>
      <c r="D16" s="357" t="s">
        <v>495</v>
      </c>
      <c r="E16" s="357" t="s">
        <v>496</v>
      </c>
      <c r="F16" s="358" t="s">
        <v>469</v>
      </c>
      <c r="G16" s="376"/>
      <c r="H16" s="377"/>
      <c r="I16" s="356" t="s">
        <v>492</v>
      </c>
      <c r="J16" s="357" t="s">
        <v>493</v>
      </c>
      <c r="K16" s="357" t="s">
        <v>494</v>
      </c>
      <c r="L16" s="357" t="s">
        <v>495</v>
      </c>
      <c r="M16" s="357" t="s">
        <v>496</v>
      </c>
      <c r="N16" s="358" t="s">
        <v>498</v>
      </c>
    </row>
    <row r="17" spans="1:14" ht="15" customHeight="1">
      <c r="A17" s="759">
        <v>1</v>
      </c>
      <c r="B17" s="352" t="s">
        <v>475</v>
      </c>
      <c r="C17" s="352">
        <v>0.5</v>
      </c>
      <c r="D17" s="352">
        <v>56</v>
      </c>
      <c r="E17" s="362">
        <f>C17*5280*D17</f>
        <v>147840</v>
      </c>
      <c r="F17" s="363">
        <f>E17*$F$3*(1-$E$15)</f>
        <v>13480.055020632739</v>
      </c>
      <c r="G17" s="376"/>
      <c r="H17" s="377"/>
      <c r="I17" s="759">
        <v>1</v>
      </c>
      <c r="J17" s="352" t="s">
        <v>475</v>
      </c>
      <c r="K17" s="352">
        <v>0.5</v>
      </c>
      <c r="L17" s="352">
        <v>56</v>
      </c>
      <c r="M17" s="362">
        <f>K17*5280*L17</f>
        <v>147840</v>
      </c>
      <c r="N17" s="363">
        <f>M17*$N$4</f>
        <v>336419.75308641978</v>
      </c>
    </row>
    <row r="18" spans="1:14" ht="15" customHeight="1">
      <c r="A18" s="760"/>
      <c r="B18" s="350" t="s">
        <v>464</v>
      </c>
      <c r="C18" s="350">
        <v>0.3</v>
      </c>
      <c r="D18" s="350">
        <v>36</v>
      </c>
      <c r="E18" s="351">
        <f t="shared" ref="E18:E20" si="3">C18*5280*D18</f>
        <v>57024</v>
      </c>
      <c r="F18" s="353">
        <f>E18*$F$3*(1-$E$15)</f>
        <v>5199.4497936726275</v>
      </c>
      <c r="G18" s="376"/>
      <c r="H18" s="377"/>
      <c r="I18" s="760"/>
      <c r="J18" s="350" t="s">
        <v>464</v>
      </c>
      <c r="K18" s="350">
        <v>0.3</v>
      </c>
      <c r="L18" s="350">
        <v>36</v>
      </c>
      <c r="M18" s="351">
        <f>K18*5280*L18</f>
        <v>57024</v>
      </c>
      <c r="N18" s="353">
        <f t="shared" ref="N18:N20" si="4">M18*$N$4</f>
        <v>129761.90476190476</v>
      </c>
    </row>
    <row r="19" spans="1:14">
      <c r="A19" s="354">
        <v>2</v>
      </c>
      <c r="B19" s="350" t="s">
        <v>464</v>
      </c>
      <c r="C19" s="350">
        <v>8.5</v>
      </c>
      <c r="D19" s="350">
        <v>36</v>
      </c>
      <c r="E19" s="351">
        <f t="shared" si="3"/>
        <v>1615680</v>
      </c>
      <c r="F19" s="353">
        <f>E19*$F$3*(1-$E$15)</f>
        <v>147317.74415405779</v>
      </c>
      <c r="G19" s="376"/>
      <c r="H19" s="377"/>
      <c r="I19" s="354">
        <v>2</v>
      </c>
      <c r="J19" s="350" t="s">
        <v>464</v>
      </c>
      <c r="K19" s="350">
        <v>8.5</v>
      </c>
      <c r="L19" s="350">
        <v>36</v>
      </c>
      <c r="M19" s="351">
        <f>K19*5280*L19</f>
        <v>1615680</v>
      </c>
      <c r="N19" s="353">
        <f t="shared" si="4"/>
        <v>3676587.3015873018</v>
      </c>
    </row>
    <row r="20" spans="1:14" ht="15.75" thickBot="1">
      <c r="A20" s="364">
        <v>3</v>
      </c>
      <c r="B20" s="355" t="s">
        <v>462</v>
      </c>
      <c r="C20" s="355">
        <v>2.8</v>
      </c>
      <c r="D20" s="355">
        <v>36</v>
      </c>
      <c r="E20" s="365">
        <f t="shared" si="3"/>
        <v>532223.99999999988</v>
      </c>
      <c r="F20" s="366">
        <f>E20*$F$3*(1-$E$15)</f>
        <v>48528.198074277847</v>
      </c>
      <c r="G20" s="376"/>
      <c r="H20" s="377"/>
      <c r="I20" s="364">
        <v>3</v>
      </c>
      <c r="J20" s="355" t="s">
        <v>462</v>
      </c>
      <c r="K20" s="355">
        <v>2.8</v>
      </c>
      <c r="L20" s="355">
        <v>36</v>
      </c>
      <c r="M20" s="365">
        <f>K20*5280*L20</f>
        <v>532223.99999999988</v>
      </c>
      <c r="N20" s="366">
        <f t="shared" si="4"/>
        <v>1211111.111111111</v>
      </c>
    </row>
    <row r="21" spans="1:14" ht="15.75" thickBot="1">
      <c r="A21" s="757"/>
      <c r="B21" s="758"/>
      <c r="C21" s="359">
        <f>SUM(C17:C20)</f>
        <v>12.100000000000001</v>
      </c>
      <c r="D21" s="359"/>
      <c r="E21" s="360">
        <f>SUM(E17:E20)</f>
        <v>2352768</v>
      </c>
      <c r="F21" s="361">
        <f>SUM(F17:F20)</f>
        <v>214525.447042641</v>
      </c>
      <c r="G21" s="376"/>
      <c r="H21" s="377"/>
      <c r="I21" s="757"/>
      <c r="J21" s="758"/>
      <c r="K21" s="359">
        <f>SUM(K17:K20)</f>
        <v>12.100000000000001</v>
      </c>
      <c r="L21" s="359"/>
      <c r="M21" s="360">
        <f>SUM(M17:M20)</f>
        <v>2352768</v>
      </c>
      <c r="N21" s="361">
        <f>SUM(N17:N20)</f>
        <v>5353880.0705467369</v>
      </c>
    </row>
    <row r="22" spans="1:14">
      <c r="G22" s="376"/>
      <c r="H22" s="377"/>
    </row>
    <row r="23" spans="1:14">
      <c r="A23" s="378"/>
      <c r="B23" s="378"/>
      <c r="C23" s="378"/>
      <c r="D23" s="378"/>
      <c r="E23" s="378"/>
      <c r="F23" s="378"/>
    </row>
    <row r="24" spans="1:14">
      <c r="A24" s="378"/>
      <c r="B24" s="378"/>
      <c r="C24" s="378"/>
      <c r="D24" s="378"/>
      <c r="E24" s="378"/>
      <c r="F24" s="378"/>
    </row>
    <row r="25" spans="1:14">
      <c r="A25" s="378"/>
      <c r="B25" s="378"/>
      <c r="C25" s="378"/>
      <c r="D25" s="378"/>
      <c r="E25" s="378"/>
      <c r="F25" s="378"/>
    </row>
    <row r="26" spans="1:14">
      <c r="A26" s="378"/>
      <c r="B26" s="378"/>
      <c r="C26" s="378"/>
      <c r="D26" s="378"/>
      <c r="E26" s="378"/>
      <c r="F26" s="378"/>
    </row>
  </sheetData>
  <mergeCells count="17">
    <mergeCell ref="A21:B21"/>
    <mergeCell ref="I3:K3"/>
    <mergeCell ref="I4:K4"/>
    <mergeCell ref="I15:N15"/>
    <mergeCell ref="I17:I18"/>
    <mergeCell ref="I21:J21"/>
    <mergeCell ref="A17:A18"/>
    <mergeCell ref="B15:D15"/>
    <mergeCell ref="A14:F14"/>
    <mergeCell ref="A1:F1"/>
    <mergeCell ref="I1:N1"/>
    <mergeCell ref="A6:F6"/>
    <mergeCell ref="I6:N6"/>
    <mergeCell ref="I12:J12"/>
    <mergeCell ref="A8:A9"/>
    <mergeCell ref="I8:I9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79998168889431442"/>
  </sheetPr>
  <dimension ref="A1:D90"/>
  <sheetViews>
    <sheetView workbookViewId="0"/>
  </sheetViews>
  <sheetFormatPr defaultRowHeight="15"/>
  <cols>
    <col min="1" max="1" width="68.7109375" customWidth="1"/>
    <col min="2" max="2" width="18.28515625" customWidth="1"/>
    <col min="3" max="3" width="73.7109375" customWidth="1"/>
  </cols>
  <sheetData>
    <row r="1" spans="1:3">
      <c r="A1" s="20" t="s">
        <v>59</v>
      </c>
      <c r="B1" s="20" t="s">
        <v>60</v>
      </c>
      <c r="C1" s="20" t="s">
        <v>61</v>
      </c>
    </row>
    <row r="2" spans="1:3">
      <c r="A2" s="20" t="s">
        <v>62</v>
      </c>
      <c r="B2" s="20"/>
      <c r="C2" s="20"/>
    </row>
    <row r="3" spans="1:3">
      <c r="A3" s="21" t="s">
        <v>63</v>
      </c>
      <c r="B3" s="428">
        <v>7.0000000000000007E-2</v>
      </c>
      <c r="C3" s="22" t="s">
        <v>284</v>
      </c>
    </row>
    <row r="4" spans="1:3">
      <c r="A4" s="21" t="s">
        <v>63</v>
      </c>
      <c r="B4" s="428">
        <v>0.03</v>
      </c>
      <c r="C4" s="22" t="s">
        <v>275</v>
      </c>
    </row>
    <row r="5" spans="1:3">
      <c r="A5" s="23" t="s">
        <v>64</v>
      </c>
      <c r="B5" s="23" t="s">
        <v>65</v>
      </c>
      <c r="C5" s="210" t="s">
        <v>441</v>
      </c>
    </row>
    <row r="6" spans="1:3" s="64" customFormat="1">
      <c r="A6" s="23" t="s">
        <v>505</v>
      </c>
      <c r="B6" s="23">
        <v>2023</v>
      </c>
      <c r="C6" s="210"/>
    </row>
    <row r="7" spans="1:3" s="64" customFormat="1">
      <c r="A7" s="23" t="s">
        <v>506</v>
      </c>
      <c r="B7" s="23">
        <v>2025</v>
      </c>
      <c r="C7" s="210"/>
    </row>
    <row r="8" spans="1:3" s="64" customFormat="1">
      <c r="A8" s="23" t="s">
        <v>450</v>
      </c>
      <c r="B8" s="23">
        <v>30</v>
      </c>
      <c r="C8" s="22"/>
    </row>
    <row r="9" spans="1:3">
      <c r="A9" s="23" t="s">
        <v>66</v>
      </c>
      <c r="B9" s="23">
        <v>2018</v>
      </c>
      <c r="C9" s="22" t="s">
        <v>300</v>
      </c>
    </row>
    <row r="10" spans="1:3">
      <c r="A10" s="23" t="s">
        <v>67</v>
      </c>
      <c r="B10" s="23">
        <v>2020</v>
      </c>
      <c r="C10" s="22"/>
    </row>
    <row r="11" spans="1:3">
      <c r="A11" s="33"/>
      <c r="B11" s="33"/>
      <c r="C11" s="34"/>
    </row>
    <row r="12" spans="1:3">
      <c r="A12" s="33" t="s">
        <v>97</v>
      </c>
      <c r="B12" s="33"/>
      <c r="C12" s="34"/>
    </row>
    <row r="13" spans="1:3">
      <c r="A13" s="33" t="s">
        <v>98</v>
      </c>
      <c r="B13" s="33">
        <v>5.4100000000000002E-2</v>
      </c>
      <c r="C13" s="33" t="s">
        <v>337</v>
      </c>
    </row>
    <row r="14" spans="1:3">
      <c r="A14" s="33" t="s">
        <v>2</v>
      </c>
      <c r="B14" s="33">
        <v>300</v>
      </c>
      <c r="C14" s="34" t="s">
        <v>253</v>
      </c>
    </row>
    <row r="15" spans="1:3" s="27" customFormat="1">
      <c r="A15" s="33" t="s">
        <v>442</v>
      </c>
      <c r="B15" s="429">
        <f>Traffic_related_data!D41</f>
        <v>0</v>
      </c>
      <c r="C15" s="33" t="s">
        <v>276</v>
      </c>
    </row>
    <row r="16" spans="1:3" s="27" customFormat="1">
      <c r="A16" s="33" t="s">
        <v>443</v>
      </c>
      <c r="B16" s="33">
        <f>Traffic_related_data!D42</f>
        <v>0</v>
      </c>
      <c r="C16" s="33" t="s">
        <v>276</v>
      </c>
    </row>
    <row r="17" spans="1:4" s="27" customFormat="1">
      <c r="A17" s="33"/>
      <c r="B17" s="33"/>
      <c r="C17" s="33"/>
    </row>
    <row r="18" spans="1:4">
      <c r="B18" s="67"/>
    </row>
    <row r="19" spans="1:4" s="1" customFormat="1" ht="12.75">
      <c r="A19" s="20" t="s">
        <v>68</v>
      </c>
      <c r="B19" s="430"/>
      <c r="C19" s="22"/>
      <c r="D19" s="24"/>
    </row>
    <row r="20" spans="1:4" s="1" customFormat="1" ht="12.75">
      <c r="A20" s="23" t="s">
        <v>227</v>
      </c>
      <c r="B20" s="431">
        <v>0</v>
      </c>
      <c r="C20" s="23" t="s">
        <v>69</v>
      </c>
      <c r="D20" s="24"/>
    </row>
    <row r="21" spans="1:4" s="1" customFormat="1" ht="12.75">
      <c r="A21" s="25" t="s">
        <v>70</v>
      </c>
      <c r="B21" s="431">
        <f>B20*(Deflator!$C$85/Deflator!$C$67)</f>
        <v>0</v>
      </c>
      <c r="C21" s="22" t="s">
        <v>71</v>
      </c>
      <c r="D21" s="24"/>
    </row>
    <row r="22" spans="1:4" s="1" customFormat="1" ht="25.5">
      <c r="A22" s="78" t="s">
        <v>228</v>
      </c>
      <c r="B22" s="431">
        <v>5.6000000000000001E-2</v>
      </c>
      <c r="C22" s="23" t="s">
        <v>69</v>
      </c>
      <c r="D22" s="24"/>
    </row>
    <row r="23" spans="1:4" s="1" customFormat="1" ht="25.5">
      <c r="A23" s="78" t="s">
        <v>229</v>
      </c>
      <c r="B23" s="431">
        <f>B22*(Deflator!$C$85/Deflator!$C$67)</f>
        <v>7.918974358974358E-2</v>
      </c>
      <c r="C23" s="22" t="s">
        <v>71</v>
      </c>
      <c r="D23" s="24"/>
    </row>
    <row r="24" spans="1:4" hidden="1">
      <c r="A24" s="23" t="s">
        <v>72</v>
      </c>
      <c r="B24" s="26">
        <v>0.08</v>
      </c>
      <c r="C24" s="22" t="s">
        <v>73</v>
      </c>
      <c r="D24" s="27"/>
    </row>
    <row r="25" spans="1:4" hidden="1">
      <c r="A25" s="23" t="s">
        <v>74</v>
      </c>
      <c r="B25" s="26">
        <f>B24*Deflator!C54/Deflator!C27</f>
        <v>0.27065953654188951</v>
      </c>
      <c r="C25" s="22" t="s">
        <v>75</v>
      </c>
      <c r="D25" s="27"/>
    </row>
    <row r="26" spans="1:4" s="1" customFormat="1" ht="12.75">
      <c r="A26" s="23"/>
      <c r="B26" s="432"/>
      <c r="C26" s="22"/>
      <c r="D26" s="24"/>
    </row>
    <row r="27" spans="1:4" s="1" customFormat="1" ht="12.75">
      <c r="A27" s="20" t="s">
        <v>76</v>
      </c>
      <c r="B27" s="432"/>
      <c r="C27" s="22"/>
      <c r="D27" s="24"/>
    </row>
    <row r="28" spans="1:4" s="1" customFormat="1" ht="12.75">
      <c r="A28" s="23" t="s">
        <v>231</v>
      </c>
      <c r="B28" s="433">
        <v>7.7999999999999996E-3</v>
      </c>
      <c r="C28" s="23" t="s">
        <v>69</v>
      </c>
      <c r="D28" s="24"/>
    </row>
    <row r="29" spans="1:4" s="1" customFormat="1" ht="12.75">
      <c r="A29" s="23" t="s">
        <v>232</v>
      </c>
      <c r="B29" s="434">
        <f>B28*Deflator!$C$85/Deflator!$C$67</f>
        <v>1.1029999999999998E-2</v>
      </c>
      <c r="C29" s="22" t="s">
        <v>71</v>
      </c>
      <c r="D29" s="24"/>
    </row>
    <row r="30" spans="1:4" s="1" customFormat="1" ht="12.75">
      <c r="A30" s="23" t="s">
        <v>233</v>
      </c>
      <c r="B30" s="435">
        <v>3.27E-2</v>
      </c>
      <c r="C30" s="23" t="s">
        <v>69</v>
      </c>
      <c r="D30" s="24"/>
    </row>
    <row r="31" spans="1:4" s="1" customFormat="1" ht="12.75">
      <c r="A31" s="23" t="s">
        <v>234</v>
      </c>
      <c r="B31" s="434">
        <f>B30*Deflator!$C$85/Deflator!$C$67</f>
        <v>4.6241153846153842E-2</v>
      </c>
      <c r="C31" s="22" t="s">
        <v>71</v>
      </c>
      <c r="D31" s="24"/>
    </row>
    <row r="32" spans="1:4" s="1" customFormat="1" ht="25.5">
      <c r="A32" s="32" t="s">
        <v>239</v>
      </c>
      <c r="B32" s="435">
        <v>0.41</v>
      </c>
      <c r="C32" s="22" t="s">
        <v>284</v>
      </c>
      <c r="D32" s="24"/>
    </row>
    <row r="33" spans="1:4" s="1" customFormat="1" ht="12.75">
      <c r="A33" s="29" t="s">
        <v>292</v>
      </c>
      <c r="B33" s="28">
        <v>16.600000000000001</v>
      </c>
      <c r="C33" s="22" t="s">
        <v>284</v>
      </c>
      <c r="D33" s="24"/>
    </row>
    <row r="34" spans="1:4" s="1" customFormat="1" ht="12.75">
      <c r="A34" s="29" t="s">
        <v>293</v>
      </c>
      <c r="B34" s="28">
        <v>29.5</v>
      </c>
      <c r="C34" s="22" t="s">
        <v>284</v>
      </c>
      <c r="D34" s="24"/>
    </row>
    <row r="35" spans="1:4" s="1" customFormat="1" ht="12.75">
      <c r="A35" s="29" t="s">
        <v>96</v>
      </c>
      <c r="B35" s="436">
        <v>1.67</v>
      </c>
      <c r="C35" s="22" t="s">
        <v>284</v>
      </c>
      <c r="D35" s="24"/>
    </row>
    <row r="36" spans="1:4" s="1" customFormat="1" ht="12.75">
      <c r="A36" s="29"/>
      <c r="B36" s="28"/>
      <c r="C36" s="22"/>
      <c r="D36" s="24"/>
    </row>
    <row r="37" spans="1:4" s="1" customFormat="1" ht="12.75">
      <c r="A37" s="29"/>
      <c r="B37" s="432"/>
      <c r="C37" s="22"/>
      <c r="D37" s="24"/>
    </row>
    <row r="38" spans="1:4" s="1" customFormat="1" ht="12.75">
      <c r="A38" s="30" t="s">
        <v>220</v>
      </c>
      <c r="B38" s="432"/>
      <c r="C38" s="22"/>
      <c r="D38" s="24"/>
    </row>
    <row r="39" spans="1:4" s="1" customFormat="1" ht="12.75">
      <c r="A39" s="23" t="s">
        <v>294</v>
      </c>
      <c r="B39" s="437">
        <v>2100</v>
      </c>
      <c r="C39" s="22" t="s">
        <v>284</v>
      </c>
      <c r="D39" s="24"/>
    </row>
    <row r="40" spans="1:4" s="1" customFormat="1" ht="12.75">
      <c r="A40" s="23" t="s">
        <v>295</v>
      </c>
      <c r="B40" s="437">
        <v>8600</v>
      </c>
      <c r="C40" s="22" t="s">
        <v>284</v>
      </c>
      <c r="D40" s="24"/>
    </row>
    <row r="41" spans="1:4" s="1" customFormat="1" ht="12.75">
      <c r="A41" s="23" t="s">
        <v>296</v>
      </c>
      <c r="B41" s="437">
        <v>387300</v>
      </c>
      <c r="C41" s="22" t="s">
        <v>284</v>
      </c>
      <c r="D41" s="24"/>
    </row>
    <row r="42" spans="1:4" s="1" customFormat="1" ht="12.75">
      <c r="A42" s="23" t="s">
        <v>297</v>
      </c>
      <c r="B42" s="437">
        <v>50100</v>
      </c>
      <c r="C42" s="22" t="s">
        <v>284</v>
      </c>
      <c r="D42" s="24"/>
    </row>
    <row r="43" spans="1:4" s="1" customFormat="1" ht="12.75">
      <c r="A43" s="107" t="s">
        <v>298</v>
      </c>
      <c r="B43" s="437" t="s">
        <v>240</v>
      </c>
      <c r="C43" s="23" t="s">
        <v>254</v>
      </c>
      <c r="D43" s="24"/>
    </row>
    <row r="44" spans="1:4" s="1" customFormat="1" ht="12.75">
      <c r="A44" s="22" t="s">
        <v>77</v>
      </c>
      <c r="B44" s="438">
        <v>0.6</v>
      </c>
      <c r="C44" s="23" t="s">
        <v>78</v>
      </c>
      <c r="D44" s="24"/>
    </row>
    <row r="45" spans="1:4" s="1" customFormat="1" ht="12.75">
      <c r="A45" s="22" t="s">
        <v>79</v>
      </c>
      <c r="B45" s="438">
        <v>0.91</v>
      </c>
      <c r="C45" s="23" t="s">
        <v>78</v>
      </c>
      <c r="D45" s="24"/>
    </row>
    <row r="46" spans="1:4" s="1" customFormat="1" ht="12.75">
      <c r="A46" s="22" t="s">
        <v>80</v>
      </c>
      <c r="B46" s="438">
        <v>0.01</v>
      </c>
      <c r="C46" s="23" t="s">
        <v>78</v>
      </c>
      <c r="D46" s="24"/>
    </row>
    <row r="47" spans="1:4" s="1" customFormat="1" ht="12.75">
      <c r="A47" s="22" t="s">
        <v>81</v>
      </c>
      <c r="B47" s="438">
        <v>532</v>
      </c>
      <c r="C47" s="23" t="s">
        <v>78</v>
      </c>
      <c r="D47" s="24"/>
    </row>
    <row r="48" spans="1:4" s="1" customFormat="1" ht="12.75">
      <c r="A48" s="22" t="s">
        <v>82</v>
      </c>
      <c r="B48" s="438">
        <v>0.27</v>
      </c>
      <c r="C48" s="23" t="s">
        <v>78</v>
      </c>
      <c r="D48" s="24"/>
    </row>
    <row r="49" spans="1:4" s="1" customFormat="1" ht="12.75">
      <c r="A49" s="22" t="s">
        <v>83</v>
      </c>
      <c r="B49" s="438">
        <v>0.28000000000000003</v>
      </c>
      <c r="C49" s="23" t="s">
        <v>78</v>
      </c>
      <c r="D49" s="24"/>
    </row>
    <row r="50" spans="1:4" s="1" customFormat="1" ht="12.75">
      <c r="A50" s="22" t="s">
        <v>84</v>
      </c>
      <c r="B50" s="438">
        <v>0.01</v>
      </c>
      <c r="C50" s="23" t="s">
        <v>78</v>
      </c>
      <c r="D50" s="24"/>
    </row>
    <row r="51" spans="1:4" s="1" customFormat="1" ht="12.75">
      <c r="A51" s="22" t="s">
        <v>85</v>
      </c>
      <c r="B51" s="438">
        <v>434</v>
      </c>
      <c r="C51" s="23" t="s">
        <v>78</v>
      </c>
      <c r="D51" s="24"/>
    </row>
    <row r="52" spans="1:4" s="1" customFormat="1" ht="12.75">
      <c r="A52" s="22" t="s">
        <v>86</v>
      </c>
      <c r="B52" s="438">
        <v>0.21</v>
      </c>
      <c r="C52" s="23" t="s">
        <v>78</v>
      </c>
      <c r="D52" s="24"/>
    </row>
    <row r="53" spans="1:4" s="1" customFormat="1" ht="12.75">
      <c r="A53" s="22" t="s">
        <v>87</v>
      </c>
      <c r="B53" s="438">
        <v>0.2</v>
      </c>
      <c r="C53" s="23" t="s">
        <v>78</v>
      </c>
      <c r="D53" s="24"/>
    </row>
    <row r="54" spans="1:4" s="1" customFormat="1" ht="12.75">
      <c r="A54" s="22" t="s">
        <v>88</v>
      </c>
      <c r="B54" s="438">
        <v>0.01</v>
      </c>
      <c r="C54" s="23" t="s">
        <v>78</v>
      </c>
      <c r="D54" s="24"/>
    </row>
    <row r="55" spans="1:4" s="1" customFormat="1" ht="12.75">
      <c r="A55" s="22" t="s">
        <v>89</v>
      </c>
      <c r="B55" s="438">
        <v>397</v>
      </c>
      <c r="C55" s="23" t="s">
        <v>78</v>
      </c>
      <c r="D55" s="24"/>
    </row>
    <row r="56" spans="1:4" s="1" customFormat="1" ht="12.75">
      <c r="A56" s="22" t="s">
        <v>90</v>
      </c>
      <c r="B56" s="439">
        <v>1.1014999999999999</v>
      </c>
      <c r="C56" s="22" t="s">
        <v>238</v>
      </c>
      <c r="D56" s="24"/>
    </row>
    <row r="57" spans="1:4" s="1" customFormat="1" ht="12.75">
      <c r="A57" s="85" t="s">
        <v>252</v>
      </c>
      <c r="B57" s="440">
        <v>0.06</v>
      </c>
      <c r="C57" s="85" t="s">
        <v>255</v>
      </c>
      <c r="D57" s="24"/>
    </row>
    <row r="58" spans="1:4" s="1" customFormat="1" ht="12.75">
      <c r="A58" s="85" t="s">
        <v>277</v>
      </c>
      <c r="B58" s="440">
        <v>1.31</v>
      </c>
      <c r="C58" s="85" t="s">
        <v>255</v>
      </c>
      <c r="D58" s="24"/>
    </row>
    <row r="59" spans="1:4" s="1" customFormat="1" ht="12.75">
      <c r="A59" s="85" t="s">
        <v>256</v>
      </c>
      <c r="B59" s="441">
        <v>0.05</v>
      </c>
      <c r="C59" s="85" t="s">
        <v>255</v>
      </c>
      <c r="D59" s="24"/>
    </row>
    <row r="60" spans="1:4" s="1" customFormat="1" ht="12.75">
      <c r="A60" s="85" t="s">
        <v>257</v>
      </c>
      <c r="B60" s="441">
        <v>0.05</v>
      </c>
      <c r="C60" s="85" t="s">
        <v>255</v>
      </c>
      <c r="D60" s="24"/>
    </row>
    <row r="61" spans="1:4" s="1" customFormat="1" ht="12.75">
      <c r="A61" s="85" t="s">
        <v>258</v>
      </c>
      <c r="B61" s="438">
        <v>750.92</v>
      </c>
      <c r="C61" s="85" t="s">
        <v>255</v>
      </c>
      <c r="D61" s="24"/>
    </row>
    <row r="62" spans="1:4" s="64" customFormat="1">
      <c r="A62" s="121" t="s">
        <v>250</v>
      </c>
      <c r="B62" s="122"/>
      <c r="C62" s="123"/>
      <c r="D62" s="67"/>
    </row>
    <row r="63" spans="1:4" s="64" customFormat="1">
      <c r="A63" s="65"/>
      <c r="B63" s="120" t="s">
        <v>299</v>
      </c>
      <c r="C63" s="23"/>
      <c r="D63" s="67"/>
    </row>
    <row r="64" spans="1:4" s="64" customFormat="1">
      <c r="A64" s="65">
        <v>2017</v>
      </c>
      <c r="B64" s="434">
        <v>1</v>
      </c>
      <c r="C64" s="23" t="s">
        <v>284</v>
      </c>
      <c r="D64" s="67"/>
    </row>
    <row r="65" spans="1:4" s="64" customFormat="1">
      <c r="A65" s="65">
        <v>2020</v>
      </c>
      <c r="B65" s="434">
        <v>1</v>
      </c>
      <c r="C65" s="23" t="s">
        <v>284</v>
      </c>
      <c r="D65" s="67"/>
    </row>
    <row r="66" spans="1:4" s="64" customFormat="1">
      <c r="A66" s="65">
        <v>2025</v>
      </c>
      <c r="B66" s="434">
        <v>1</v>
      </c>
      <c r="C66" s="23" t="s">
        <v>284</v>
      </c>
      <c r="D66" s="67"/>
    </row>
    <row r="67" spans="1:4" s="64" customFormat="1">
      <c r="A67" s="68">
        <v>2030</v>
      </c>
      <c r="B67" s="434">
        <v>1</v>
      </c>
      <c r="C67" s="23" t="s">
        <v>284</v>
      </c>
      <c r="D67" s="67"/>
    </row>
    <row r="68" spans="1:4" s="64" customFormat="1">
      <c r="A68" s="68">
        <v>2035</v>
      </c>
      <c r="B68" s="434">
        <v>2</v>
      </c>
      <c r="C68" s="23" t="s">
        <v>284</v>
      </c>
      <c r="D68" s="67"/>
    </row>
    <row r="69" spans="1:4" s="64" customFormat="1">
      <c r="A69" s="68">
        <v>2040</v>
      </c>
      <c r="B69" s="434">
        <v>2</v>
      </c>
      <c r="C69" s="23" t="s">
        <v>284</v>
      </c>
      <c r="D69" s="67"/>
    </row>
    <row r="70" spans="1:4" s="64" customFormat="1">
      <c r="A70" s="68">
        <v>2045</v>
      </c>
      <c r="B70" s="434">
        <v>2</v>
      </c>
      <c r="C70" s="23" t="s">
        <v>284</v>
      </c>
      <c r="D70" s="67"/>
    </row>
    <row r="71" spans="1:4" s="64" customFormat="1">
      <c r="A71" s="68">
        <v>2050</v>
      </c>
      <c r="B71" s="434">
        <v>2</v>
      </c>
      <c r="C71" s="23" t="s">
        <v>284</v>
      </c>
      <c r="D71" s="67"/>
    </row>
    <row r="72" spans="1:4">
      <c r="B72" s="67"/>
    </row>
    <row r="73" spans="1:4">
      <c r="B73" s="67"/>
    </row>
    <row r="74" spans="1:4" s="1" customFormat="1" ht="12.75">
      <c r="A74" s="30" t="s">
        <v>91</v>
      </c>
      <c r="B74" s="23"/>
      <c r="C74" s="23"/>
      <c r="D74" s="24"/>
    </row>
    <row r="75" spans="1:4" s="1" customFormat="1" ht="12.75">
      <c r="A75" s="23"/>
      <c r="B75" s="442"/>
      <c r="C75" s="22"/>
      <c r="D75" s="24"/>
    </row>
    <row r="76" spans="1:4" s="1" customFormat="1" ht="12.75">
      <c r="A76" s="30" t="s">
        <v>92</v>
      </c>
      <c r="B76" s="432"/>
      <c r="C76" s="22"/>
      <c r="D76" s="24"/>
    </row>
    <row r="77" spans="1:4" s="1" customFormat="1" ht="12.75">
      <c r="A77" s="23" t="s">
        <v>93</v>
      </c>
      <c r="B77" s="443">
        <v>4000</v>
      </c>
      <c r="C77" s="22" t="s">
        <v>291</v>
      </c>
      <c r="D77" s="24"/>
    </row>
    <row r="78" spans="1:4" s="1" customFormat="1" ht="12.75">
      <c r="A78" s="23" t="s">
        <v>285</v>
      </c>
      <c r="B78" s="443">
        <v>28800</v>
      </c>
      <c r="C78" s="22" t="s">
        <v>284</v>
      </c>
      <c r="D78" s="24"/>
    </row>
    <row r="79" spans="1:4" s="1" customFormat="1" ht="12.75">
      <c r="A79" s="23" t="s">
        <v>286</v>
      </c>
      <c r="B79" s="443">
        <v>451200</v>
      </c>
      <c r="C79" s="22" t="s">
        <v>284</v>
      </c>
      <c r="D79" s="24"/>
    </row>
    <row r="80" spans="1:4" s="1" customFormat="1" ht="12.75">
      <c r="A80" s="23" t="s">
        <v>287</v>
      </c>
      <c r="B80" s="443">
        <v>1008000</v>
      </c>
      <c r="C80" s="22" t="s">
        <v>284</v>
      </c>
      <c r="D80" s="24"/>
    </row>
    <row r="81" spans="1:4" s="1" customFormat="1" ht="12.75">
      <c r="A81" s="23" t="s">
        <v>288</v>
      </c>
      <c r="B81" s="443">
        <v>2553600</v>
      </c>
      <c r="C81" s="22" t="s">
        <v>284</v>
      </c>
      <c r="D81" s="24"/>
    </row>
    <row r="82" spans="1:4" s="1" customFormat="1" ht="12.75">
      <c r="A82" s="23" t="s">
        <v>289</v>
      </c>
      <c r="B82" s="443">
        <v>5692800</v>
      </c>
      <c r="C82" s="22" t="s">
        <v>284</v>
      </c>
      <c r="D82" s="24"/>
    </row>
    <row r="83" spans="1:4" s="1" customFormat="1" ht="12.75">
      <c r="A83" s="23" t="s">
        <v>290</v>
      </c>
      <c r="B83" s="443">
        <v>9600000</v>
      </c>
      <c r="C83" s="22" t="s">
        <v>284</v>
      </c>
      <c r="D83" s="24"/>
    </row>
    <row r="84" spans="1:4">
      <c r="A84" s="23" t="s">
        <v>266</v>
      </c>
      <c r="B84" s="443">
        <v>3200</v>
      </c>
      <c r="C84" s="22" t="s">
        <v>284</v>
      </c>
    </row>
    <row r="85" spans="1:4">
      <c r="A85" s="23" t="s">
        <v>267</v>
      </c>
      <c r="B85" s="443">
        <v>63900</v>
      </c>
      <c r="C85" s="22" t="s">
        <v>284</v>
      </c>
    </row>
    <row r="86" spans="1:4">
      <c r="A86" s="23" t="s">
        <v>268</v>
      </c>
      <c r="B86" s="443">
        <v>125000</v>
      </c>
      <c r="C86" s="22" t="s">
        <v>284</v>
      </c>
    </row>
    <row r="87" spans="1:4">
      <c r="A87" s="23" t="s">
        <v>269</v>
      </c>
      <c r="B87" s="443">
        <v>459100</v>
      </c>
      <c r="C87" s="22" t="s">
        <v>284</v>
      </c>
    </row>
    <row r="88" spans="1:4">
      <c r="A88" s="23" t="s">
        <v>270</v>
      </c>
      <c r="B88" s="443">
        <v>9600000</v>
      </c>
      <c r="C88" s="22" t="s">
        <v>284</v>
      </c>
    </row>
    <row r="89" spans="1:4">
      <c r="A89" s="23" t="s">
        <v>271</v>
      </c>
      <c r="B89" s="443">
        <v>174000</v>
      </c>
      <c r="C89" s="22" t="s">
        <v>284</v>
      </c>
    </row>
    <row r="90" spans="1:4">
      <c r="A90" s="23" t="s">
        <v>272</v>
      </c>
      <c r="B90" s="443">
        <v>132200</v>
      </c>
      <c r="C90" s="22" t="s">
        <v>284</v>
      </c>
    </row>
  </sheetData>
  <hyperlinks>
    <hyperlink ref="C5" r:id="rId1" xr:uid="{713C7F78-2D8D-4762-964B-CBD8B2F0F40D}"/>
  </hyperlinks>
  <pageMargins left="0.7" right="0.7" top="0.75" bottom="0.75" header="0.3" footer="0.3"/>
  <pageSetup orientation="portrait" horizontalDpi="1200" verticalDpi="120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6" tint="-0.249977111117893"/>
  </sheetPr>
  <dimension ref="A1:K61"/>
  <sheetViews>
    <sheetView workbookViewId="0"/>
  </sheetViews>
  <sheetFormatPr defaultColWidth="9.140625" defaultRowHeight="12.75"/>
  <cols>
    <col min="1" max="1" width="9.140625" style="1"/>
    <col min="2" max="2" width="40.85546875" style="1" customWidth="1"/>
    <col min="3" max="3" width="16.28515625" style="1" bestFit="1" customWidth="1"/>
    <col min="4" max="4" width="16" style="1" bestFit="1" customWidth="1"/>
    <col min="5" max="5" width="18.5703125" style="1" customWidth="1"/>
    <col min="6" max="6" width="30.7109375" style="1" bestFit="1" customWidth="1"/>
    <col min="7" max="7" width="12.7109375" style="1" bestFit="1" customWidth="1"/>
    <col min="8" max="8" width="31.42578125" style="1" customWidth="1"/>
    <col min="9" max="9" width="15" style="1" customWidth="1"/>
    <col min="10" max="11" width="17.85546875" style="1" customWidth="1"/>
    <col min="12" max="16384" width="9.140625" style="1"/>
  </cols>
  <sheetData>
    <row r="1" spans="1:6">
      <c r="A1" s="240"/>
      <c r="B1" s="39" t="s">
        <v>109</v>
      </c>
    </row>
    <row r="2" spans="1:6">
      <c r="B2" s="1" t="s">
        <v>110</v>
      </c>
    </row>
    <row r="4" spans="1:6" ht="25.5">
      <c r="B4" s="58" t="s">
        <v>111</v>
      </c>
      <c r="D4" s="58" t="s">
        <v>112</v>
      </c>
      <c r="F4" s="57"/>
    </row>
    <row r="6" spans="1:6">
      <c r="A6" s="24"/>
      <c r="B6" s="56" t="s">
        <v>113</v>
      </c>
      <c r="D6" s="55">
        <v>31</v>
      </c>
    </row>
    <row r="7" spans="1:6">
      <c r="B7" s="54" t="s">
        <v>114</v>
      </c>
      <c r="D7" s="55">
        <v>16</v>
      </c>
    </row>
    <row r="8" spans="1:6">
      <c r="B8" s="54" t="s">
        <v>115</v>
      </c>
      <c r="D8" s="55">
        <v>36</v>
      </c>
    </row>
    <row r="9" spans="1:6">
      <c r="B9" s="54" t="s">
        <v>116</v>
      </c>
      <c r="D9" s="55">
        <v>40</v>
      </c>
    </row>
    <row r="10" spans="1:6">
      <c r="B10" s="54" t="s">
        <v>117</v>
      </c>
      <c r="D10" s="55">
        <v>34</v>
      </c>
    </row>
    <row r="11" spans="1:6">
      <c r="B11" s="56" t="s">
        <v>118</v>
      </c>
      <c r="D11" s="55">
        <v>48</v>
      </c>
    </row>
    <row r="12" spans="1:6">
      <c r="B12" s="56" t="s">
        <v>119</v>
      </c>
      <c r="D12" s="55">
        <v>48</v>
      </c>
    </row>
    <row r="13" spans="1:6">
      <c r="B13" s="56" t="s">
        <v>120</v>
      </c>
      <c r="D13" s="55">
        <v>48</v>
      </c>
    </row>
    <row r="14" spans="1:6">
      <c r="B14" s="54" t="s">
        <v>121</v>
      </c>
      <c r="D14" s="55">
        <v>32</v>
      </c>
    </row>
    <row r="15" spans="1:6">
      <c r="B15" s="53" t="s">
        <v>122</v>
      </c>
      <c r="D15" s="55">
        <v>30</v>
      </c>
    </row>
    <row r="16" spans="1:6">
      <c r="B16" s="52" t="s">
        <v>123</v>
      </c>
      <c r="D16" s="55">
        <v>38</v>
      </c>
    </row>
    <row r="17" spans="2:8">
      <c r="B17" s="51" t="s">
        <v>124</v>
      </c>
      <c r="D17" s="50">
        <v>38</v>
      </c>
    </row>
    <row r="18" spans="2:8">
      <c r="B18" s="52" t="s">
        <v>125</v>
      </c>
      <c r="D18" s="55">
        <v>54</v>
      </c>
    </row>
    <row r="19" spans="2:8">
      <c r="B19" s="63" t="s">
        <v>126</v>
      </c>
      <c r="D19" s="55">
        <v>40</v>
      </c>
    </row>
    <row r="20" spans="2:8">
      <c r="B20" s="52" t="s">
        <v>127</v>
      </c>
      <c r="D20" s="55">
        <v>50</v>
      </c>
      <c r="H20" s="39" t="s">
        <v>447</v>
      </c>
    </row>
    <row r="21" spans="2:8">
      <c r="B21" s="52" t="s">
        <v>128</v>
      </c>
      <c r="D21" s="55">
        <v>60</v>
      </c>
      <c r="H21" s="1" t="s">
        <v>446</v>
      </c>
    </row>
    <row r="22" spans="2:8">
      <c r="B22" s="52" t="s">
        <v>129</v>
      </c>
      <c r="D22" s="55">
        <v>60</v>
      </c>
    </row>
    <row r="23" spans="2:8">
      <c r="B23" s="52" t="s">
        <v>130</v>
      </c>
      <c r="D23" s="55">
        <v>60</v>
      </c>
      <c r="F23" s="62"/>
    </row>
    <row r="24" spans="2:8">
      <c r="B24" s="52" t="s">
        <v>131</v>
      </c>
      <c r="D24" s="55">
        <v>60</v>
      </c>
      <c r="F24" s="62"/>
    </row>
    <row r="25" spans="2:8">
      <c r="B25" s="52" t="s">
        <v>132</v>
      </c>
      <c r="D25" s="55">
        <v>50</v>
      </c>
      <c r="F25" s="62"/>
    </row>
    <row r="26" spans="2:8">
      <c r="B26" s="52" t="s">
        <v>133</v>
      </c>
      <c r="D26" s="55">
        <v>60</v>
      </c>
      <c r="F26" s="62"/>
    </row>
    <row r="27" spans="2:8">
      <c r="B27" s="24" t="s">
        <v>134</v>
      </c>
    </row>
    <row r="28" spans="2:8">
      <c r="B28" s="37" t="s">
        <v>135</v>
      </c>
    </row>
    <row r="29" spans="2:8">
      <c r="B29" s="37"/>
    </row>
    <row r="30" spans="2:8">
      <c r="B30" s="52" t="s">
        <v>136</v>
      </c>
      <c r="D30" s="60">
        <v>75</v>
      </c>
    </row>
    <row r="31" spans="2:8">
      <c r="B31" s="61" t="s">
        <v>137</v>
      </c>
      <c r="D31" s="49"/>
    </row>
    <row r="32" spans="2:8" ht="15">
      <c r="B32" s="211" t="s">
        <v>138</v>
      </c>
      <c r="D32" s="49"/>
    </row>
    <row r="33" spans="1:8">
      <c r="B33" s="1" t="s">
        <v>139</v>
      </c>
      <c r="D33" s="49"/>
      <c r="F33" s="1" t="s">
        <v>140</v>
      </c>
    </row>
    <row r="34" spans="1:8">
      <c r="D34" s="49"/>
    </row>
    <row r="35" spans="1:8">
      <c r="B35" s="52" t="s">
        <v>448</v>
      </c>
      <c r="D35" s="60">
        <v>150</v>
      </c>
    </row>
    <row r="36" spans="1:8">
      <c r="B36" s="1" t="s">
        <v>449</v>
      </c>
      <c r="D36" s="49"/>
    </row>
    <row r="37" spans="1:8">
      <c r="B37" s="48"/>
      <c r="D37" s="49"/>
    </row>
    <row r="38" spans="1:8">
      <c r="B38" s="48" t="s">
        <v>4</v>
      </c>
      <c r="C38" s="1">
        <f>Inputs!B10</f>
        <v>2020</v>
      </c>
      <c r="D38" s="49"/>
    </row>
    <row r="39" spans="1:8">
      <c r="C39" s="6"/>
      <c r="D39" s="62"/>
      <c r="G39" s="6"/>
      <c r="H39" s="62"/>
    </row>
    <row r="40" spans="1:8">
      <c r="B40" s="1" t="s">
        <v>144</v>
      </c>
      <c r="C40" s="47" t="s">
        <v>472</v>
      </c>
      <c r="G40" s="47"/>
    </row>
    <row r="41" spans="1:8">
      <c r="A41" s="24"/>
      <c r="B41" s="46" t="s">
        <v>141</v>
      </c>
      <c r="C41" s="45">
        <f>Inputs!B7+30</f>
        <v>2055</v>
      </c>
      <c r="D41" s="45"/>
      <c r="G41" s="24"/>
    </row>
    <row r="42" spans="1:8" s="24" customFormat="1">
      <c r="C42" s="342"/>
      <c r="D42" s="342"/>
      <c r="F42" s="1"/>
      <c r="H42" s="1"/>
    </row>
    <row r="43" spans="1:8">
      <c r="A43" s="24"/>
      <c r="B43" s="24"/>
      <c r="C43" s="44"/>
      <c r="G43" s="24"/>
    </row>
    <row r="44" spans="1:8">
      <c r="A44" s="24"/>
      <c r="B44" s="24"/>
      <c r="C44" s="44"/>
      <c r="G44" s="24"/>
    </row>
    <row r="45" spans="1:8">
      <c r="A45" s="24"/>
      <c r="G45" s="24"/>
    </row>
    <row r="46" spans="1:8">
      <c r="G46" s="24"/>
    </row>
    <row r="47" spans="1:8">
      <c r="G47" s="24"/>
    </row>
    <row r="48" spans="1:8">
      <c r="C48" s="298" t="s">
        <v>486</v>
      </c>
    </row>
    <row r="49" spans="2:11">
      <c r="B49" s="41" t="s">
        <v>142</v>
      </c>
      <c r="C49" s="30" t="s">
        <v>143</v>
      </c>
    </row>
    <row r="50" spans="2:11">
      <c r="B50" s="22" t="s">
        <v>39</v>
      </c>
      <c r="C50" s="40">
        <f>J56/10^6</f>
        <v>60.703549500000001</v>
      </c>
    </row>
    <row r="51" spans="2:11">
      <c r="B51" s="22" t="s">
        <v>107</v>
      </c>
      <c r="C51" s="40">
        <f t="shared" ref="C51:C52" si="0">J57/10^6</f>
        <v>5.6856728520708248</v>
      </c>
    </row>
    <row r="52" spans="2:11">
      <c r="B52" s="22" t="s">
        <v>108</v>
      </c>
      <c r="C52" s="40">
        <f t="shared" si="0"/>
        <v>21.573033680339634</v>
      </c>
    </row>
    <row r="53" spans="2:11">
      <c r="B53" s="39"/>
      <c r="C53" s="6"/>
    </row>
    <row r="55" spans="2:11" ht="25.5">
      <c r="B55" s="39" t="s">
        <v>487</v>
      </c>
      <c r="C55" s="47" t="s">
        <v>472</v>
      </c>
      <c r="D55" s="58" t="s">
        <v>112</v>
      </c>
      <c r="E55" s="1" t="s">
        <v>141</v>
      </c>
      <c r="G55" s="24"/>
    </row>
    <row r="56" spans="2:11" ht="15">
      <c r="B56" s="217" t="s">
        <v>470</v>
      </c>
      <c r="C56" s="218">
        <f>Costs_Summary!D30</f>
        <v>64438675</v>
      </c>
      <c r="D56" s="225">
        <f>$D$21</f>
        <v>60</v>
      </c>
      <c r="E56" s="251">
        <f>(C56)*(D56-30)/D56</f>
        <v>32219337.5</v>
      </c>
      <c r="F56" s="251">
        <f>E56/(1+$K$57)^($C$41-$C$38)</f>
        <v>3017757.8419109988</v>
      </c>
      <c r="G56" s="24"/>
      <c r="H56" s="33" t="str">
        <f>"Total Value Remaining after "&amp;$C$41</f>
        <v>Total Value Remaining after 2055</v>
      </c>
      <c r="I56" s="43">
        <f>E59</f>
        <v>60703549.5</v>
      </c>
      <c r="J56" s="42">
        <f>I56</f>
        <v>60703549.5</v>
      </c>
    </row>
    <row r="57" spans="2:11" ht="15">
      <c r="B57" s="219" t="s">
        <v>471</v>
      </c>
      <c r="C57" s="220">
        <f>Costs_Summary!D31</f>
        <v>24824325</v>
      </c>
      <c r="D57" s="225">
        <f>$D$30</f>
        <v>75</v>
      </c>
      <c r="E57" s="251">
        <f t="shared" ref="E57" si="1">(C57)*(D57-30)/D57</f>
        <v>14894595</v>
      </c>
      <c r="F57" s="251">
        <f>E57/(1+$K$57)^($C$41-$C$38)</f>
        <v>1395071.5424654013</v>
      </c>
      <c r="G57" s="38"/>
      <c r="H57" s="34" t="s">
        <v>107</v>
      </c>
      <c r="I57" s="36"/>
      <c r="J57" s="297">
        <f>J56/(1+K57)^($C$41-$C$38)</f>
        <v>5685672.8520708252</v>
      </c>
      <c r="K57" s="127">
        <f>Inputs!$B$3</f>
        <v>7.0000000000000007E-2</v>
      </c>
    </row>
    <row r="58" spans="2:11" ht="15">
      <c r="B58" s="223" t="s">
        <v>473</v>
      </c>
      <c r="C58" s="224">
        <f>Costs_Summary!D10</f>
        <v>13589617</v>
      </c>
      <c r="D58" s="225" t="s">
        <v>474</v>
      </c>
      <c r="E58" s="251">
        <f>C58</f>
        <v>13589617</v>
      </c>
      <c r="F58" s="251">
        <f>E58/(1+$K$57)^($C$41-$C$38)</f>
        <v>1272843.4676944248</v>
      </c>
      <c r="G58" s="38"/>
      <c r="H58" s="34" t="s">
        <v>108</v>
      </c>
      <c r="I58" s="36"/>
      <c r="J58" s="297">
        <f>J56/(1+K58)^($C$41-$C$38)</f>
        <v>21573033.680339634</v>
      </c>
      <c r="K58" s="127">
        <f>Inputs!$B$4</f>
        <v>0.03</v>
      </c>
    </row>
    <row r="59" spans="2:11">
      <c r="C59" s="766" t="str">
        <f>"Total Value Remaining after "&amp;$D$41</f>
        <v xml:space="preserve">Total Value Remaining after </v>
      </c>
      <c r="D59" s="766"/>
      <c r="E59" s="252">
        <f>SUM(E56:E58)</f>
        <v>60703549.5</v>
      </c>
      <c r="F59" s="252">
        <f>E59/(1+$K$57)^($C$41-$C$38)</f>
        <v>5685672.8520708252</v>
      </c>
    </row>
    <row r="61" spans="2:11">
      <c r="B61" s="39" t="s">
        <v>904</v>
      </c>
    </row>
  </sheetData>
  <mergeCells count="1">
    <mergeCell ref="C59:D59"/>
  </mergeCells>
  <phoneticPr fontId="66" type="noConversion"/>
  <hyperlinks>
    <hyperlink ref="B7" location="fn17" display="fn17" xr:uid="{00000000-0004-0000-0800-000000000000}"/>
    <hyperlink ref="B8" location="fn17" display="fn17" xr:uid="{00000000-0004-0000-0800-000001000000}"/>
    <hyperlink ref="B9" location="fn17" display="fn17" xr:uid="{00000000-0004-0000-0800-000002000000}"/>
    <hyperlink ref="B10" location="fn17" display="fn17" xr:uid="{00000000-0004-0000-0800-000003000000}"/>
    <hyperlink ref="B14" location="fn18" display="fn18" xr:uid="{00000000-0004-0000-0800-000004000000}"/>
    <hyperlink ref="B15" location="fn18" display="fn18" xr:uid="{00000000-0004-0000-0800-000005000000}"/>
    <hyperlink ref="B19" location="fn20" display="fn20" xr:uid="{00000000-0004-0000-0800-000006000000}"/>
    <hyperlink ref="B28" r:id="rId1" xr:uid="{00000000-0004-0000-0800-000007000000}"/>
    <hyperlink ref="B32" r:id="rId2" display="https://www.google.com/url?sa=t&amp;rct=j&amp;q=&amp;esrc=s&amp;source=web&amp;cd=1&amp;cad=rja&amp;uact=8&amp;ved=0ahUKEwiv-8XR8cLLAhVV5WMKHYZ6Ap8QFggcMAA&amp;url=http%3A%2F%2Fwww.fhwa.dot.gov%2Fbridge%2Fpreservation%2Fguide%2Fguide.pdf&amp;usg=AFQjCNEf26d_7T9a9n7jxVGGtwyGvq2zQg&amp;sig2=Z8jY2-M9fT0zre_vXvSplg&amp;bvm=bv.116954456,d.cGc" xr:uid="{3E1E1E23-F439-449F-925C-BCAF2CA8E8CF}"/>
  </hyperlinks>
  <pageMargins left="0.7" right="0.7" top="0.75" bottom="0.75" header="0.3" footer="0.3"/>
  <pageSetup orientation="portrait" r:id="rId3"/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P92"/>
  <sheetViews>
    <sheetView workbookViewId="0">
      <pane xSplit="1" ySplit="5" topLeftCell="B6" activePane="bottomRight" state="frozen"/>
      <selection pane="topRight"/>
      <selection pane="bottomLeft"/>
      <selection pane="bottomRight" sqref="A1:K1"/>
    </sheetView>
  </sheetViews>
  <sheetFormatPr defaultColWidth="8.85546875" defaultRowHeight="15"/>
  <cols>
    <col min="1" max="1" width="13.7109375" style="19" customWidth="1"/>
    <col min="2" max="5" width="10.42578125" style="19" customWidth="1"/>
    <col min="6" max="6" width="11.42578125" style="19" customWidth="1"/>
    <col min="7" max="10" width="10.42578125" style="19" customWidth="1"/>
    <col min="11" max="12" width="10.7109375" style="19" customWidth="1"/>
    <col min="13" max="15" width="10.42578125" style="19" customWidth="1"/>
    <col min="16" max="16" width="11.42578125" style="19" customWidth="1"/>
    <col min="17" max="17" width="17.5703125" style="19" customWidth="1"/>
    <col min="18" max="16384" width="8.85546875" style="19"/>
  </cols>
  <sheetData>
    <row r="1" spans="1:16" ht="19.899999999999999" customHeight="1">
      <c r="A1" s="768" t="s">
        <v>33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</row>
    <row r="2" spans="1:16" ht="13.9" customHeight="1">
      <c r="A2" s="769" t="s">
        <v>34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</row>
    <row r="3" spans="1:16" ht="13.9" customHeight="1">
      <c r="A3" s="767" t="s">
        <v>35</v>
      </c>
      <c r="B3" s="767" t="s">
        <v>36</v>
      </c>
      <c r="C3" s="767" t="s">
        <v>37</v>
      </c>
      <c r="D3" s="95" t="s">
        <v>38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34.15" customHeight="1">
      <c r="A4" s="767"/>
      <c r="B4" s="767"/>
      <c r="C4" s="767"/>
      <c r="D4" s="767" t="s">
        <v>39</v>
      </c>
      <c r="E4" s="95" t="s">
        <v>40</v>
      </c>
      <c r="F4" s="95" t="s">
        <v>41</v>
      </c>
      <c r="G4" s="95" t="s">
        <v>42</v>
      </c>
      <c r="H4" s="95"/>
      <c r="I4" s="95"/>
      <c r="J4" s="767" t="s">
        <v>43</v>
      </c>
      <c r="K4" s="767" t="s">
        <v>44</v>
      </c>
      <c r="L4" s="767" t="s">
        <v>45</v>
      </c>
      <c r="M4" s="95" t="s">
        <v>46</v>
      </c>
      <c r="N4" s="95" t="s">
        <v>47</v>
      </c>
      <c r="O4" s="95"/>
      <c r="P4" s="95"/>
    </row>
    <row r="5" spans="1:16" ht="36" customHeight="1">
      <c r="A5" s="767"/>
      <c r="B5" s="767"/>
      <c r="C5" s="767"/>
      <c r="D5" s="767"/>
      <c r="E5" s="95"/>
      <c r="F5" s="95"/>
      <c r="G5" s="95" t="s">
        <v>39</v>
      </c>
      <c r="H5" s="95" t="s">
        <v>48</v>
      </c>
      <c r="I5" s="95" t="s">
        <v>49</v>
      </c>
      <c r="J5" s="767"/>
      <c r="K5" s="767"/>
      <c r="L5" s="767"/>
      <c r="M5" s="95"/>
      <c r="N5" s="95" t="s">
        <v>39</v>
      </c>
      <c r="O5" s="95" t="s">
        <v>50</v>
      </c>
      <c r="P5" s="95" t="s">
        <v>51</v>
      </c>
    </row>
    <row r="6" spans="1:16" ht="15" customHeight="1">
      <c r="A6" s="65" t="s">
        <v>361</v>
      </c>
      <c r="B6" s="65">
        <v>98.2</v>
      </c>
      <c r="C6" s="65">
        <v>7.7100000000000002E-2</v>
      </c>
      <c r="D6" s="65">
        <v>6.5299999999999997E-2</v>
      </c>
      <c r="E6" s="65">
        <v>6.1400000000000003E-2</v>
      </c>
      <c r="F6" s="65">
        <v>6.6199999999999995E-2</v>
      </c>
      <c r="G6" s="65">
        <v>7.4099999999999999E-2</v>
      </c>
      <c r="H6" s="65">
        <v>7.4099999999999999E-2</v>
      </c>
      <c r="I6" s="65">
        <v>7.4099999999999999E-2</v>
      </c>
      <c r="J6" s="65">
        <v>4.6300000000000001E-2</v>
      </c>
      <c r="K6" s="65">
        <v>7.7100000000000002E-2</v>
      </c>
      <c r="L6" s="65">
        <v>4.4200000000000003E-2</v>
      </c>
      <c r="M6" s="65">
        <v>6.2700000000000006E-2</v>
      </c>
      <c r="N6" s="65">
        <v>0.13780000000000001</v>
      </c>
      <c r="O6" s="65">
        <v>0.14299999999999999</v>
      </c>
      <c r="P6" s="65">
        <v>0.13569999999999999</v>
      </c>
    </row>
    <row r="7" spans="1:16" ht="15" customHeight="1">
      <c r="A7" s="65" t="s">
        <v>362</v>
      </c>
      <c r="B7" s="65">
        <v>116.2</v>
      </c>
      <c r="C7" s="65">
        <v>0.08</v>
      </c>
      <c r="D7" s="65">
        <v>7.2400000000000006E-2</v>
      </c>
      <c r="E7" s="65">
        <v>7.5600000000000001E-2</v>
      </c>
      <c r="F7" s="65">
        <v>6.9699999999999998E-2</v>
      </c>
      <c r="G7" s="65">
        <v>7.6700000000000004E-2</v>
      </c>
      <c r="H7" s="65">
        <v>7.6700000000000004E-2</v>
      </c>
      <c r="I7" s="65">
        <v>7.6700000000000004E-2</v>
      </c>
      <c r="J7" s="65">
        <v>4.19E-2</v>
      </c>
      <c r="K7" s="65">
        <v>0.08</v>
      </c>
      <c r="L7" s="65">
        <v>4.3900000000000002E-2</v>
      </c>
      <c r="M7" s="65">
        <v>6.4100000000000004E-2</v>
      </c>
      <c r="N7" s="65">
        <v>0.1487</v>
      </c>
      <c r="O7" s="65">
        <v>0.15160000000000001</v>
      </c>
      <c r="P7" s="65">
        <v>0.1421</v>
      </c>
    </row>
    <row r="8" spans="1:16" ht="15" customHeight="1">
      <c r="A8" s="65" t="s">
        <v>363</v>
      </c>
      <c r="B8" s="65">
        <v>147.69999999999999</v>
      </c>
      <c r="C8" s="65">
        <v>8.5999999999999993E-2</v>
      </c>
      <c r="D8" s="65">
        <v>8.2299999999999998E-2</v>
      </c>
      <c r="E8" s="65">
        <v>9.2499999999999999E-2</v>
      </c>
      <c r="F8" s="65">
        <v>6.3299999999999995E-2</v>
      </c>
      <c r="G8" s="65">
        <v>8.3900000000000002E-2</v>
      </c>
      <c r="H8" s="65">
        <v>8.3900000000000002E-2</v>
      </c>
      <c r="I8" s="65">
        <v>8.3900000000000002E-2</v>
      </c>
      <c r="J8" s="65">
        <v>4.1099999999999998E-2</v>
      </c>
      <c r="K8" s="65">
        <v>8.5999999999999993E-2</v>
      </c>
      <c r="L8" s="65">
        <v>4.7100000000000003E-2</v>
      </c>
      <c r="M8" s="65">
        <v>5.5300000000000002E-2</v>
      </c>
      <c r="N8" s="65">
        <v>0.1555</v>
      </c>
      <c r="O8" s="65">
        <v>0.15570000000000001</v>
      </c>
      <c r="P8" s="65">
        <v>0.15329999999999999</v>
      </c>
    </row>
    <row r="9" spans="1:16" ht="15" customHeight="1">
      <c r="A9" s="65" t="s">
        <v>364</v>
      </c>
      <c r="B9" s="65">
        <v>184.6</v>
      </c>
      <c r="C9" s="65">
        <v>9.1499999999999998E-2</v>
      </c>
      <c r="D9" s="65">
        <v>9.1200000000000003E-2</v>
      </c>
      <c r="E9" s="65">
        <v>9.9299999999999999E-2</v>
      </c>
      <c r="F9" s="65">
        <v>6.25E-2</v>
      </c>
      <c r="G9" s="65">
        <v>9.2899999999999996E-2</v>
      </c>
      <c r="H9" s="65">
        <v>9.2899999999999996E-2</v>
      </c>
      <c r="I9" s="65">
        <v>9.2899999999999996E-2</v>
      </c>
      <c r="J9" s="65">
        <v>4.3799999999999999E-2</v>
      </c>
      <c r="K9" s="65">
        <v>9.1499999999999998E-2</v>
      </c>
      <c r="L9" s="65">
        <v>5.16E-2</v>
      </c>
      <c r="M9" s="65">
        <v>5.4199999999999998E-2</v>
      </c>
      <c r="N9" s="65">
        <v>0.1525</v>
      </c>
      <c r="O9" s="65">
        <v>0.1525</v>
      </c>
      <c r="P9" s="65">
        <v>0.15620000000000001</v>
      </c>
    </row>
    <row r="10" spans="1:16" ht="15" customHeight="1">
      <c r="A10" s="65" t="s">
        <v>365</v>
      </c>
      <c r="B10" s="65">
        <v>213.8</v>
      </c>
      <c r="C10" s="65">
        <v>9.4799999999999995E-2</v>
      </c>
      <c r="D10" s="65">
        <v>8.3699999999999997E-2</v>
      </c>
      <c r="E10" s="65">
        <v>8.6900000000000005E-2</v>
      </c>
      <c r="F10" s="65">
        <v>6.7599999999999993E-2</v>
      </c>
      <c r="G10" s="65">
        <v>9.98E-2</v>
      </c>
      <c r="H10" s="65">
        <v>9.98E-2</v>
      </c>
      <c r="I10" s="65">
        <v>9.98E-2</v>
      </c>
      <c r="J10" s="65">
        <v>4.6100000000000002E-2</v>
      </c>
      <c r="K10" s="65">
        <v>9.4799999999999995E-2</v>
      </c>
      <c r="L10" s="65">
        <v>5.6800000000000003E-2</v>
      </c>
      <c r="M10" s="65">
        <v>5.7799999999999997E-2</v>
      </c>
      <c r="N10" s="65">
        <v>0.14810000000000001</v>
      </c>
      <c r="O10" s="65">
        <v>0.14799999999999999</v>
      </c>
      <c r="P10" s="65">
        <v>0.1633</v>
      </c>
    </row>
    <row r="11" spans="1:16" ht="15" customHeight="1">
      <c r="A11" s="65" t="s">
        <v>366</v>
      </c>
      <c r="B11" s="65">
        <v>226.4</v>
      </c>
      <c r="C11" s="65">
        <v>9.7100000000000006E-2</v>
      </c>
      <c r="D11" s="65">
        <v>7.8899999999999998E-2</v>
      </c>
      <c r="E11" s="65">
        <v>7.9000000000000001E-2</v>
      </c>
      <c r="F11" s="65">
        <v>7.7799999999999994E-2</v>
      </c>
      <c r="G11" s="65">
        <v>0.105</v>
      </c>
      <c r="H11" s="65">
        <v>0.105</v>
      </c>
      <c r="I11" s="65">
        <v>0.1047</v>
      </c>
      <c r="J11" s="65">
        <v>4.6600000000000003E-2</v>
      </c>
      <c r="K11" s="65">
        <v>9.7100000000000006E-2</v>
      </c>
      <c r="L11" s="65">
        <v>5.9900000000000002E-2</v>
      </c>
      <c r="M11" s="65">
        <v>6.1400000000000003E-2</v>
      </c>
      <c r="N11" s="65">
        <v>0.1381</v>
      </c>
      <c r="O11" s="65">
        <v>0.13800000000000001</v>
      </c>
      <c r="P11" s="65">
        <v>0.16900000000000001</v>
      </c>
    </row>
    <row r="12" spans="1:16" ht="15" customHeight="1">
      <c r="A12" s="65" t="s">
        <v>367</v>
      </c>
      <c r="B12" s="65">
        <v>228</v>
      </c>
      <c r="C12" s="65">
        <v>0.1045</v>
      </c>
      <c r="D12" s="65">
        <v>7.9299999999999995E-2</v>
      </c>
      <c r="E12" s="65">
        <v>7.5399999999999995E-2</v>
      </c>
      <c r="F12" s="65">
        <v>9.5799999999999996E-2</v>
      </c>
      <c r="G12" s="65">
        <v>0.1106</v>
      </c>
      <c r="H12" s="65">
        <v>0.1106</v>
      </c>
      <c r="I12" s="65">
        <v>0.1104</v>
      </c>
      <c r="J12" s="65">
        <v>5.1400000000000001E-2</v>
      </c>
      <c r="K12" s="65">
        <v>0.1045</v>
      </c>
      <c r="L12" s="65">
        <v>6.2300000000000001E-2</v>
      </c>
      <c r="M12" s="65">
        <v>6.6699999999999995E-2</v>
      </c>
      <c r="N12" s="65">
        <v>0.14019999999999999</v>
      </c>
      <c r="O12" s="65">
        <v>0.13980000000000001</v>
      </c>
      <c r="P12" s="65">
        <v>0.15959999999999999</v>
      </c>
    </row>
    <row r="13" spans="1:16" ht="15" customHeight="1">
      <c r="A13" s="65" t="s">
        <v>368</v>
      </c>
      <c r="B13" s="65">
        <v>238.9</v>
      </c>
      <c r="C13" s="65">
        <v>0.1159</v>
      </c>
      <c r="D13" s="65">
        <v>8.9700000000000002E-2</v>
      </c>
      <c r="E13" s="65">
        <v>8.1299999999999997E-2</v>
      </c>
      <c r="F13" s="65">
        <v>9.5500000000000002E-2</v>
      </c>
      <c r="G13" s="65">
        <v>0.11890000000000001</v>
      </c>
      <c r="H13" s="65">
        <v>0.11890000000000001</v>
      </c>
      <c r="I13" s="65">
        <v>0.1188</v>
      </c>
      <c r="J13" s="65">
        <v>0.1246</v>
      </c>
      <c r="K13" s="65">
        <v>0.1159</v>
      </c>
      <c r="L13" s="65">
        <v>6.6100000000000006E-2</v>
      </c>
      <c r="M13" s="65">
        <v>6.88E-2</v>
      </c>
      <c r="N13" s="65">
        <v>0.15609999999999999</v>
      </c>
      <c r="O13" s="65">
        <v>0.15570000000000001</v>
      </c>
      <c r="P13" s="65">
        <v>0.15809999999999999</v>
      </c>
    </row>
    <row r="14" spans="1:16" ht="15" customHeight="1">
      <c r="A14" s="65" t="s">
        <v>369</v>
      </c>
      <c r="B14" s="65">
        <v>261.89999999999998</v>
      </c>
      <c r="C14" s="65">
        <v>0.12690000000000001</v>
      </c>
      <c r="D14" s="65">
        <v>9.3200000000000005E-2</v>
      </c>
      <c r="E14" s="65">
        <v>7.6300000000000007E-2</v>
      </c>
      <c r="F14" s="65">
        <v>0.10340000000000001</v>
      </c>
      <c r="G14" s="65">
        <v>0.12989999999999999</v>
      </c>
      <c r="H14" s="65">
        <v>0.12989999999999999</v>
      </c>
      <c r="I14" s="65">
        <v>0.1298</v>
      </c>
      <c r="J14" s="65">
        <v>7.0000000000000007E-2</v>
      </c>
      <c r="K14" s="65">
        <v>0.12690000000000001</v>
      </c>
      <c r="L14" s="65">
        <v>7.1400000000000005E-2</v>
      </c>
      <c r="M14" s="65">
        <v>7.5700000000000003E-2</v>
      </c>
      <c r="N14" s="65">
        <v>0.1736</v>
      </c>
      <c r="O14" s="65">
        <v>0.17080000000000001</v>
      </c>
      <c r="P14" s="65">
        <v>0.184</v>
      </c>
    </row>
    <row r="15" spans="1:16" ht="15" customHeight="1">
      <c r="A15" s="65" t="s">
        <v>370</v>
      </c>
      <c r="B15" s="65">
        <v>276.5</v>
      </c>
      <c r="C15" s="65">
        <v>0.13120000000000001</v>
      </c>
      <c r="D15" s="65">
        <v>8.9599999999999999E-2</v>
      </c>
      <c r="E15" s="65">
        <v>7.5899999999999995E-2</v>
      </c>
      <c r="F15" s="65">
        <v>9.8799999999999999E-2</v>
      </c>
      <c r="G15" s="65">
        <v>0.1333</v>
      </c>
      <c r="H15" s="65">
        <v>0.1333</v>
      </c>
      <c r="I15" s="65">
        <v>0.13320000000000001</v>
      </c>
      <c r="J15" s="65">
        <v>7.3700000000000002E-2</v>
      </c>
      <c r="K15" s="65">
        <v>0.13120000000000001</v>
      </c>
      <c r="L15" s="65">
        <v>6.9400000000000003E-2</v>
      </c>
      <c r="M15" s="65">
        <v>7.3700000000000002E-2</v>
      </c>
      <c r="N15" s="65">
        <v>0.18229999999999999</v>
      </c>
      <c r="O15" s="65">
        <v>0.18</v>
      </c>
      <c r="P15" s="65">
        <v>0.18770000000000001</v>
      </c>
    </row>
    <row r="16" spans="1:16" ht="15" customHeight="1">
      <c r="A16" s="65" t="s">
        <v>371</v>
      </c>
      <c r="B16" s="65">
        <v>278.67500000000001</v>
      </c>
      <c r="C16" s="65">
        <v>0.12939999999999999</v>
      </c>
      <c r="D16" s="65">
        <v>9.4200000000000006E-2</v>
      </c>
      <c r="E16" s="65">
        <v>7.6700000000000004E-2</v>
      </c>
      <c r="F16" s="65">
        <v>0.1056</v>
      </c>
      <c r="G16" s="65">
        <v>0.13159999999999999</v>
      </c>
      <c r="H16" s="65">
        <v>0.13170000000000001</v>
      </c>
      <c r="I16" s="65">
        <v>0.13120000000000001</v>
      </c>
      <c r="J16" s="65">
        <v>6.9900000000000004E-2</v>
      </c>
      <c r="K16" s="65">
        <v>0.12939999999999999</v>
      </c>
      <c r="L16" s="65">
        <v>7.3099999999999998E-2</v>
      </c>
      <c r="M16" s="65">
        <v>7.8799999999999995E-2</v>
      </c>
      <c r="N16" s="65">
        <v>0.1804</v>
      </c>
      <c r="O16" s="65">
        <v>0.17929999999999999</v>
      </c>
      <c r="P16" s="65">
        <v>0.18210000000000001</v>
      </c>
    </row>
    <row r="17" spans="1:16" ht="15" customHeight="1">
      <c r="A17" s="65" t="s">
        <v>372</v>
      </c>
      <c r="B17" s="65">
        <v>327.05</v>
      </c>
      <c r="C17" s="65">
        <v>0.1363</v>
      </c>
      <c r="D17" s="65">
        <v>9.4700000000000006E-2</v>
      </c>
      <c r="E17" s="65">
        <v>8.1299999999999997E-2</v>
      </c>
      <c r="F17" s="65">
        <v>0.11509999999999999</v>
      </c>
      <c r="G17" s="65">
        <v>0.13900000000000001</v>
      </c>
      <c r="H17" s="65">
        <v>0.1391</v>
      </c>
      <c r="I17" s="65">
        <v>0.13850000000000001</v>
      </c>
      <c r="J17" s="65">
        <v>8.3599999999999994E-2</v>
      </c>
      <c r="K17" s="65">
        <v>0.1363</v>
      </c>
      <c r="L17" s="65">
        <v>7.2099999999999997E-2</v>
      </c>
      <c r="M17" s="65">
        <v>8.0500000000000002E-2</v>
      </c>
      <c r="N17" s="65">
        <v>0.19239999999999999</v>
      </c>
      <c r="O17" s="65">
        <v>0.193</v>
      </c>
      <c r="P17" s="65">
        <v>0.1898</v>
      </c>
    </row>
    <row r="18" spans="1:16" ht="15" customHeight="1">
      <c r="A18" s="65" t="s">
        <v>373</v>
      </c>
      <c r="B18" s="65">
        <v>357.1</v>
      </c>
      <c r="C18" s="65">
        <v>0.14180000000000001</v>
      </c>
      <c r="D18" s="65">
        <v>9.4399999999999998E-2</v>
      </c>
      <c r="E18" s="65">
        <v>8.4500000000000006E-2</v>
      </c>
      <c r="F18" s="65">
        <v>0.12590000000000001</v>
      </c>
      <c r="G18" s="65">
        <v>0.14460000000000001</v>
      </c>
      <c r="H18" s="65">
        <v>0.14460000000000001</v>
      </c>
      <c r="I18" s="65">
        <v>0.14410000000000001</v>
      </c>
      <c r="J18" s="65">
        <v>8.3900000000000002E-2</v>
      </c>
      <c r="K18" s="65">
        <v>0.14180000000000001</v>
      </c>
      <c r="L18" s="65">
        <v>7.7600000000000002E-2</v>
      </c>
      <c r="M18" s="65">
        <v>8.77E-2</v>
      </c>
      <c r="N18" s="65">
        <v>0.2019</v>
      </c>
      <c r="O18" s="65">
        <v>0.20180000000000001</v>
      </c>
      <c r="P18" s="65">
        <v>0.20250000000000001</v>
      </c>
    </row>
    <row r="19" spans="1:16" ht="15" customHeight="1">
      <c r="A19" s="65" t="s">
        <v>374</v>
      </c>
      <c r="B19" s="65">
        <v>382.05</v>
      </c>
      <c r="C19" s="65">
        <v>0.1444</v>
      </c>
      <c r="D19" s="65">
        <v>0.10150000000000001</v>
      </c>
      <c r="E19" s="65">
        <v>9.3299999999999994E-2</v>
      </c>
      <c r="F19" s="65">
        <v>0.1268</v>
      </c>
      <c r="G19" s="65">
        <v>0.1467</v>
      </c>
      <c r="H19" s="65">
        <v>0.14680000000000001</v>
      </c>
      <c r="I19" s="65">
        <v>0.14630000000000001</v>
      </c>
      <c r="J19" s="65">
        <v>8.7900000000000006E-2</v>
      </c>
      <c r="K19" s="65">
        <v>0.1444</v>
      </c>
      <c r="L19" s="65">
        <v>8.2100000000000006E-2</v>
      </c>
      <c r="M19" s="65">
        <v>9.2200000000000004E-2</v>
      </c>
      <c r="N19" s="65">
        <v>0.20449999999999999</v>
      </c>
      <c r="O19" s="65">
        <v>0.20419999999999999</v>
      </c>
      <c r="P19" s="65">
        <v>0.2089</v>
      </c>
    </row>
    <row r="20" spans="1:16" ht="15" customHeight="1">
      <c r="A20" s="65" t="s">
        <v>375</v>
      </c>
      <c r="B20" s="65">
        <v>387.15</v>
      </c>
      <c r="C20" s="65">
        <v>0.14610000000000001</v>
      </c>
      <c r="D20" s="65">
        <v>0.1047</v>
      </c>
      <c r="E20" s="65">
        <v>9.4899999999999998E-2</v>
      </c>
      <c r="F20" s="65">
        <v>0.1366</v>
      </c>
      <c r="G20" s="65">
        <v>0.14860000000000001</v>
      </c>
      <c r="H20" s="65">
        <v>0.14860000000000001</v>
      </c>
      <c r="I20" s="65">
        <v>0.1484</v>
      </c>
      <c r="J20" s="65">
        <v>8.4199999999999997E-2</v>
      </c>
      <c r="K20" s="65">
        <v>0.14610000000000001</v>
      </c>
      <c r="L20" s="65">
        <v>8.5000000000000006E-2</v>
      </c>
      <c r="M20" s="65">
        <v>9.8699999999999996E-2</v>
      </c>
      <c r="N20" s="65">
        <v>0.2026</v>
      </c>
      <c r="O20" s="65">
        <v>0.20230000000000001</v>
      </c>
      <c r="P20" s="65">
        <v>0.20730000000000001</v>
      </c>
    </row>
    <row r="21" spans="1:16" ht="15" customHeight="1">
      <c r="A21" s="65" t="s">
        <v>376</v>
      </c>
      <c r="B21" s="65">
        <v>406.32499999999999</v>
      </c>
      <c r="C21" s="65">
        <v>0.1472</v>
      </c>
      <c r="D21" s="65">
        <v>0.1081</v>
      </c>
      <c r="E21" s="65">
        <v>9.8000000000000004E-2</v>
      </c>
      <c r="F21" s="65">
        <v>0.13059999999999999</v>
      </c>
      <c r="G21" s="65">
        <v>0.14849999999999999</v>
      </c>
      <c r="H21" s="65">
        <v>0.14849999999999999</v>
      </c>
      <c r="I21" s="65">
        <v>0.1484</v>
      </c>
      <c r="J21" s="65">
        <v>8.5800000000000001E-2</v>
      </c>
      <c r="K21" s="65">
        <v>0.1472</v>
      </c>
      <c r="L21" s="65">
        <v>8.7300000000000003E-2</v>
      </c>
      <c r="M21" s="65">
        <v>9.5399999999999999E-2</v>
      </c>
      <c r="N21" s="65">
        <v>0.20830000000000001</v>
      </c>
      <c r="O21" s="65">
        <v>0.20860000000000001</v>
      </c>
      <c r="P21" s="65">
        <v>0.20330000000000001</v>
      </c>
    </row>
    <row r="22" spans="1:16" ht="15" customHeight="1">
      <c r="A22" s="65" t="s">
        <v>377</v>
      </c>
      <c r="B22" s="65">
        <v>438.25</v>
      </c>
      <c r="C22" s="65">
        <v>0.151</v>
      </c>
      <c r="D22" s="65">
        <v>0.113</v>
      </c>
      <c r="E22" s="65">
        <v>0.10390000000000001</v>
      </c>
      <c r="F22" s="65">
        <v>0.13020000000000001</v>
      </c>
      <c r="G22" s="65">
        <v>0.15029999999999999</v>
      </c>
      <c r="H22" s="65">
        <v>0.15029999999999999</v>
      </c>
      <c r="I22" s="65">
        <v>0.1502</v>
      </c>
      <c r="J22" s="65">
        <v>8.7099999999999997E-2</v>
      </c>
      <c r="K22" s="65">
        <v>0.151</v>
      </c>
      <c r="L22" s="65">
        <v>8.8300000000000003E-2</v>
      </c>
      <c r="M22" s="65">
        <v>9.5100000000000004E-2</v>
      </c>
      <c r="N22" s="65">
        <v>0.21929999999999999</v>
      </c>
      <c r="O22" s="65">
        <v>0.2198</v>
      </c>
      <c r="P22" s="65">
        <v>0.2107</v>
      </c>
    </row>
    <row r="23" spans="1:16" ht="15" customHeight="1">
      <c r="A23" s="65" t="s">
        <v>378</v>
      </c>
      <c r="B23" s="65">
        <v>463.375</v>
      </c>
      <c r="C23" s="65">
        <v>0.15659999999999999</v>
      </c>
      <c r="D23" s="65">
        <v>0.1186</v>
      </c>
      <c r="E23" s="65">
        <v>0.10929999999999999</v>
      </c>
      <c r="F23" s="65">
        <v>0.1353</v>
      </c>
      <c r="G23" s="65">
        <v>0.1545</v>
      </c>
      <c r="H23" s="65">
        <v>0.1545</v>
      </c>
      <c r="I23" s="65">
        <v>0.15440000000000001</v>
      </c>
      <c r="J23" s="65">
        <v>9.5000000000000001E-2</v>
      </c>
      <c r="K23" s="65">
        <v>0.15659999999999999</v>
      </c>
      <c r="L23" s="65">
        <v>9.0399999999999994E-2</v>
      </c>
      <c r="M23" s="65">
        <v>9.8400000000000001E-2</v>
      </c>
      <c r="N23" s="65">
        <v>0.23150000000000001</v>
      </c>
      <c r="O23" s="65">
        <v>0.23219999999999999</v>
      </c>
      <c r="P23" s="65">
        <v>0.22120000000000001</v>
      </c>
    </row>
    <row r="24" spans="1:16" ht="15" customHeight="1">
      <c r="A24" s="65" t="s">
        <v>379</v>
      </c>
      <c r="B24" s="65">
        <v>473.47500000000002</v>
      </c>
      <c r="C24" s="65">
        <v>0.1613</v>
      </c>
      <c r="D24" s="65">
        <v>0.12559999999999999</v>
      </c>
      <c r="E24" s="65">
        <v>0.1144</v>
      </c>
      <c r="F24" s="65">
        <v>0.14410000000000001</v>
      </c>
      <c r="G24" s="65">
        <v>0.15909999999999999</v>
      </c>
      <c r="H24" s="65">
        <v>0.15909999999999999</v>
      </c>
      <c r="I24" s="65">
        <v>0.159</v>
      </c>
      <c r="J24" s="65">
        <v>0.1053</v>
      </c>
      <c r="K24" s="65">
        <v>0.1613</v>
      </c>
      <c r="L24" s="65">
        <v>9.6699999999999994E-2</v>
      </c>
      <c r="M24" s="65">
        <v>0.1069</v>
      </c>
      <c r="N24" s="65">
        <v>0.23880000000000001</v>
      </c>
      <c r="O24" s="65">
        <v>0.2397</v>
      </c>
      <c r="P24" s="65">
        <v>0.22800000000000001</v>
      </c>
    </row>
    <row r="25" spans="1:16" ht="15" customHeight="1">
      <c r="A25" s="65" t="s">
        <v>380</v>
      </c>
      <c r="B25" s="65">
        <v>504.6</v>
      </c>
      <c r="C25" s="65">
        <v>0.1638</v>
      </c>
      <c r="D25" s="65">
        <v>0.1308</v>
      </c>
      <c r="E25" s="65">
        <v>0.12230000000000001</v>
      </c>
      <c r="F25" s="65">
        <v>0.14199999999999999</v>
      </c>
      <c r="G25" s="65">
        <v>0.1613</v>
      </c>
      <c r="H25" s="65">
        <v>0.1613</v>
      </c>
      <c r="I25" s="65">
        <v>0.16120000000000001</v>
      </c>
      <c r="J25" s="65">
        <v>0.11260000000000001</v>
      </c>
      <c r="K25" s="65">
        <v>0.1638</v>
      </c>
      <c r="L25" s="65">
        <v>0.10150000000000001</v>
      </c>
      <c r="M25" s="65">
        <v>0.1106</v>
      </c>
      <c r="N25" s="65">
        <v>0.24299999999999999</v>
      </c>
      <c r="O25" s="65">
        <v>0.24399999999999999</v>
      </c>
      <c r="P25" s="65">
        <v>0.23169999999999999</v>
      </c>
    </row>
    <row r="26" spans="1:16" ht="15" customHeight="1">
      <c r="A26" s="65" t="s">
        <v>381</v>
      </c>
      <c r="B26" s="65">
        <v>534.32500000000005</v>
      </c>
      <c r="C26" s="65">
        <v>0.1661</v>
      </c>
      <c r="D26" s="65">
        <v>0.1328</v>
      </c>
      <c r="E26" s="65">
        <v>0.121</v>
      </c>
      <c r="F26" s="65">
        <v>0.14860000000000001</v>
      </c>
      <c r="G26" s="65">
        <v>0.1643</v>
      </c>
      <c r="H26" s="65">
        <v>0.16439999999999999</v>
      </c>
      <c r="I26" s="65">
        <v>0.16420000000000001</v>
      </c>
      <c r="J26" s="65">
        <v>0.1132</v>
      </c>
      <c r="K26" s="65">
        <v>0.1661</v>
      </c>
      <c r="L26" s="65">
        <v>0.1007</v>
      </c>
      <c r="M26" s="65">
        <v>0.1143</v>
      </c>
      <c r="N26" s="65">
        <v>0.2447</v>
      </c>
      <c r="O26" s="65">
        <v>0.24590000000000001</v>
      </c>
      <c r="P26" s="65">
        <v>0.23480000000000001</v>
      </c>
    </row>
    <row r="27" spans="1:16" ht="15" customHeight="1">
      <c r="A27" s="65" t="s">
        <v>382</v>
      </c>
      <c r="B27" s="65">
        <v>546.57500000000005</v>
      </c>
      <c r="C27" s="65">
        <v>0.16830000000000001</v>
      </c>
      <c r="D27" s="65">
        <v>0.1358</v>
      </c>
      <c r="E27" s="65">
        <v>0.12330000000000001</v>
      </c>
      <c r="F27" s="65">
        <v>0.15160000000000001</v>
      </c>
      <c r="G27" s="65">
        <v>0.1666</v>
      </c>
      <c r="H27" s="65">
        <v>0.1666</v>
      </c>
      <c r="I27" s="65">
        <v>0.16650000000000001</v>
      </c>
      <c r="J27" s="65">
        <v>0.1111</v>
      </c>
      <c r="K27" s="65">
        <v>0.16830000000000001</v>
      </c>
      <c r="L27" s="65">
        <v>0.1057</v>
      </c>
      <c r="M27" s="65">
        <v>0.1205</v>
      </c>
      <c r="N27" s="65">
        <v>0.24610000000000001</v>
      </c>
      <c r="O27" s="65">
        <v>0.24729999999999999</v>
      </c>
      <c r="P27" s="65">
        <v>0.2366</v>
      </c>
    </row>
    <row r="28" spans="1:16" ht="15" customHeight="1">
      <c r="A28" s="65" t="s">
        <v>383</v>
      </c>
      <c r="B28" s="65">
        <v>585.67499999999995</v>
      </c>
      <c r="C28" s="65">
        <v>0.17</v>
      </c>
      <c r="D28" s="65">
        <v>0.13589999999999999</v>
      </c>
      <c r="E28" s="65">
        <v>0.1234</v>
      </c>
      <c r="F28" s="65">
        <v>0.15049999999999999</v>
      </c>
      <c r="G28" s="65">
        <v>0.16819999999999999</v>
      </c>
      <c r="H28" s="65">
        <v>0.16819999999999999</v>
      </c>
      <c r="I28" s="65">
        <v>0.1681</v>
      </c>
      <c r="J28" s="65">
        <v>0.1115</v>
      </c>
      <c r="K28" s="65">
        <v>0.17</v>
      </c>
      <c r="L28" s="65">
        <v>0.10780000000000001</v>
      </c>
      <c r="M28" s="65">
        <v>0.12239999999999999</v>
      </c>
      <c r="N28" s="65">
        <v>0.24809999999999999</v>
      </c>
      <c r="O28" s="65">
        <v>0.24940000000000001</v>
      </c>
      <c r="P28" s="65">
        <v>0.2387</v>
      </c>
    </row>
    <row r="29" spans="1:16" ht="15" customHeight="1">
      <c r="A29" s="65" t="s">
        <v>384</v>
      </c>
      <c r="B29" s="65">
        <v>618.20000000000005</v>
      </c>
      <c r="C29" s="65">
        <v>0.17199999999999999</v>
      </c>
      <c r="D29" s="65">
        <v>0.14180000000000001</v>
      </c>
      <c r="E29" s="65">
        <v>0.129</v>
      </c>
      <c r="F29" s="65">
        <v>0.15620000000000001</v>
      </c>
      <c r="G29" s="65">
        <v>0.17019999999999999</v>
      </c>
      <c r="H29" s="65">
        <v>0.17019999999999999</v>
      </c>
      <c r="I29" s="65">
        <v>0.1701</v>
      </c>
      <c r="J29" s="65">
        <v>0.11550000000000001</v>
      </c>
      <c r="K29" s="65">
        <v>0.17199999999999999</v>
      </c>
      <c r="L29" s="65">
        <v>0.1113</v>
      </c>
      <c r="M29" s="65">
        <v>0.13020000000000001</v>
      </c>
      <c r="N29" s="65">
        <v>0.25209999999999999</v>
      </c>
      <c r="O29" s="65">
        <v>0.25359999999999999</v>
      </c>
      <c r="P29" s="65">
        <v>0.24099999999999999</v>
      </c>
    </row>
    <row r="30" spans="1:16" ht="15" customHeight="1">
      <c r="A30" s="65" t="s">
        <v>385</v>
      </c>
      <c r="B30" s="65">
        <v>661.7</v>
      </c>
      <c r="C30" s="65">
        <v>0.17419999999999999</v>
      </c>
      <c r="D30" s="65">
        <v>0.14410000000000001</v>
      </c>
      <c r="E30" s="65">
        <v>0.13070000000000001</v>
      </c>
      <c r="F30" s="65">
        <v>0.158</v>
      </c>
      <c r="G30" s="65">
        <v>0.1726</v>
      </c>
      <c r="H30" s="65">
        <v>0.1726</v>
      </c>
      <c r="I30" s="65">
        <v>0.17249999999999999</v>
      </c>
      <c r="J30" s="65">
        <v>0.11749999999999999</v>
      </c>
      <c r="K30" s="65">
        <v>0.17419999999999999</v>
      </c>
      <c r="L30" s="65">
        <v>0.1149</v>
      </c>
      <c r="M30" s="65">
        <v>0.1366</v>
      </c>
      <c r="N30" s="65">
        <v>0.2525</v>
      </c>
      <c r="O30" s="65">
        <v>0.25380000000000003</v>
      </c>
      <c r="P30" s="65">
        <v>0.24460000000000001</v>
      </c>
    </row>
    <row r="31" spans="1:16" ht="15" customHeight="1">
      <c r="A31" s="65" t="s">
        <v>386</v>
      </c>
      <c r="B31" s="65">
        <v>709.32500000000005</v>
      </c>
      <c r="C31" s="65">
        <v>0.1772</v>
      </c>
      <c r="D31" s="65">
        <v>0.14610000000000001</v>
      </c>
      <c r="E31" s="65">
        <v>0.1303</v>
      </c>
      <c r="F31" s="65">
        <v>0.16059999999999999</v>
      </c>
      <c r="G31" s="65">
        <v>0.1749</v>
      </c>
      <c r="H31" s="65">
        <v>0.17499999999999999</v>
      </c>
      <c r="I31" s="65">
        <v>0.17480000000000001</v>
      </c>
      <c r="J31" s="65">
        <v>0.1207</v>
      </c>
      <c r="K31" s="65">
        <v>0.1772</v>
      </c>
      <c r="L31" s="65">
        <v>0.12139999999999999</v>
      </c>
      <c r="M31" s="65">
        <v>0.14230000000000001</v>
      </c>
      <c r="N31" s="65">
        <v>0.25309999999999999</v>
      </c>
      <c r="O31" s="65">
        <v>0.2545</v>
      </c>
      <c r="P31" s="65">
        <v>0.24679999999999999</v>
      </c>
    </row>
    <row r="32" spans="1:16" ht="15" customHeight="1">
      <c r="A32" s="65" t="s">
        <v>387</v>
      </c>
      <c r="B32" s="65">
        <v>780.47500000000002</v>
      </c>
      <c r="C32" s="65">
        <v>0.18099999999999999</v>
      </c>
      <c r="D32" s="65">
        <v>0.15010000000000001</v>
      </c>
      <c r="E32" s="65">
        <v>0.13650000000000001</v>
      </c>
      <c r="F32" s="65">
        <v>0.16239999999999999</v>
      </c>
      <c r="G32" s="65">
        <v>0.17810000000000001</v>
      </c>
      <c r="H32" s="65">
        <v>0.17810000000000001</v>
      </c>
      <c r="I32" s="65">
        <v>0.17799999999999999</v>
      </c>
      <c r="J32" s="65">
        <v>0.1174</v>
      </c>
      <c r="K32" s="65">
        <v>0.18099999999999999</v>
      </c>
      <c r="L32" s="65">
        <v>0.1255</v>
      </c>
      <c r="M32" s="65">
        <v>0.1464</v>
      </c>
      <c r="N32" s="65">
        <v>0.25519999999999998</v>
      </c>
      <c r="O32" s="65">
        <v>0.25659999999999999</v>
      </c>
      <c r="P32" s="65">
        <v>0.2482</v>
      </c>
    </row>
    <row r="33" spans="1:16" ht="15" customHeight="1">
      <c r="A33" s="65" t="s">
        <v>388</v>
      </c>
      <c r="B33" s="65">
        <v>836.52499999999998</v>
      </c>
      <c r="C33" s="65">
        <v>0.1865</v>
      </c>
      <c r="D33" s="65">
        <v>0.15340000000000001</v>
      </c>
      <c r="E33" s="65">
        <v>0.1409</v>
      </c>
      <c r="F33" s="65">
        <v>0.1656</v>
      </c>
      <c r="G33" s="65">
        <v>0.18290000000000001</v>
      </c>
      <c r="H33" s="65">
        <v>0.18290000000000001</v>
      </c>
      <c r="I33" s="65">
        <v>0.18279999999999999</v>
      </c>
      <c r="J33" s="65">
        <v>0.11890000000000001</v>
      </c>
      <c r="K33" s="65">
        <v>0.1865</v>
      </c>
      <c r="L33" s="65">
        <v>0.12870000000000001</v>
      </c>
      <c r="M33" s="65">
        <v>0.1484</v>
      </c>
      <c r="N33" s="65">
        <v>0.25900000000000001</v>
      </c>
      <c r="O33" s="65">
        <v>0.26</v>
      </c>
      <c r="P33" s="65">
        <v>0.252</v>
      </c>
    </row>
    <row r="34" spans="1:16" ht="15" customHeight="1">
      <c r="A34" s="65" t="s">
        <v>389</v>
      </c>
      <c r="B34" s="65">
        <v>897.57500000000005</v>
      </c>
      <c r="C34" s="65">
        <v>0.193</v>
      </c>
      <c r="D34" s="65">
        <v>0.159</v>
      </c>
      <c r="E34" s="65">
        <v>0.14760000000000001</v>
      </c>
      <c r="F34" s="65">
        <v>0.17030000000000001</v>
      </c>
      <c r="G34" s="65">
        <v>0.18859999999999999</v>
      </c>
      <c r="H34" s="65">
        <v>0.18859999999999999</v>
      </c>
      <c r="I34" s="65">
        <v>0.1885</v>
      </c>
      <c r="J34" s="65">
        <v>0.1231</v>
      </c>
      <c r="K34" s="65">
        <v>0.193</v>
      </c>
      <c r="L34" s="65">
        <v>0.13339999999999999</v>
      </c>
      <c r="M34" s="65">
        <v>0.15160000000000001</v>
      </c>
      <c r="N34" s="65">
        <v>0.26469999999999999</v>
      </c>
      <c r="O34" s="65">
        <v>0.26550000000000001</v>
      </c>
      <c r="P34" s="65">
        <v>0.25769999999999998</v>
      </c>
    </row>
    <row r="35" spans="1:16" ht="15" customHeight="1">
      <c r="A35" s="65" t="s">
        <v>390</v>
      </c>
      <c r="B35" s="65">
        <v>980.27499999999998</v>
      </c>
      <c r="C35" s="65">
        <v>0.20180000000000001</v>
      </c>
      <c r="D35" s="65">
        <v>0.1691</v>
      </c>
      <c r="E35" s="65">
        <v>0.156</v>
      </c>
      <c r="F35" s="65">
        <v>0.18160000000000001</v>
      </c>
      <c r="G35" s="65">
        <v>0.1966</v>
      </c>
      <c r="H35" s="65">
        <v>0.1966</v>
      </c>
      <c r="I35" s="65">
        <v>0.19650000000000001</v>
      </c>
      <c r="J35" s="65">
        <v>0.1305</v>
      </c>
      <c r="K35" s="65">
        <v>0.20180000000000001</v>
      </c>
      <c r="L35" s="65">
        <v>0.14269999999999999</v>
      </c>
      <c r="M35" s="65">
        <v>0.16320000000000001</v>
      </c>
      <c r="N35" s="65">
        <v>0.27479999999999999</v>
      </c>
      <c r="O35" s="65">
        <v>0.27550000000000002</v>
      </c>
      <c r="P35" s="65">
        <v>0.26769999999999999</v>
      </c>
    </row>
    <row r="36" spans="1:16" ht="15" customHeight="1">
      <c r="A36" s="65" t="s">
        <v>391</v>
      </c>
      <c r="B36" s="128">
        <v>1046.675</v>
      </c>
      <c r="C36" s="65">
        <v>0.21260000000000001</v>
      </c>
      <c r="D36" s="65">
        <v>0.17849999999999999</v>
      </c>
      <c r="E36" s="65">
        <v>0.16400000000000001</v>
      </c>
      <c r="F36" s="65">
        <v>0.19070000000000001</v>
      </c>
      <c r="G36" s="65">
        <v>0.2059</v>
      </c>
      <c r="H36" s="65">
        <v>0.2059</v>
      </c>
      <c r="I36" s="65">
        <v>0.20580000000000001</v>
      </c>
      <c r="J36" s="65">
        <v>0.13930000000000001</v>
      </c>
      <c r="K36" s="65">
        <v>0.21260000000000001</v>
      </c>
      <c r="L36" s="65">
        <v>0.1545</v>
      </c>
      <c r="M36" s="65">
        <v>0.17330000000000001</v>
      </c>
      <c r="N36" s="65">
        <v>0.28899999999999998</v>
      </c>
      <c r="O36" s="65">
        <v>0.28970000000000001</v>
      </c>
      <c r="P36" s="65">
        <v>0.28260000000000002</v>
      </c>
    </row>
    <row r="37" spans="1:16" ht="15" customHeight="1">
      <c r="A37" s="65" t="s">
        <v>392</v>
      </c>
      <c r="B37" s="128">
        <v>1116.55</v>
      </c>
      <c r="C37" s="65">
        <v>0.22339999999999999</v>
      </c>
      <c r="D37" s="65">
        <v>0.19089999999999999</v>
      </c>
      <c r="E37" s="65">
        <v>0.17419999999999999</v>
      </c>
      <c r="F37" s="65">
        <v>0.20250000000000001</v>
      </c>
      <c r="G37" s="65">
        <v>0.21510000000000001</v>
      </c>
      <c r="H37" s="65">
        <v>0.21510000000000001</v>
      </c>
      <c r="I37" s="65">
        <v>0.215</v>
      </c>
      <c r="J37" s="65">
        <v>0.14910000000000001</v>
      </c>
      <c r="K37" s="65">
        <v>0.22339999999999999</v>
      </c>
      <c r="L37" s="65">
        <v>0.1701</v>
      </c>
      <c r="M37" s="65">
        <v>0.18970000000000001</v>
      </c>
      <c r="N37" s="65">
        <v>0.30690000000000001</v>
      </c>
      <c r="O37" s="65">
        <v>0.30790000000000001</v>
      </c>
      <c r="P37" s="65">
        <v>0.30020000000000002</v>
      </c>
    </row>
    <row r="38" spans="1:16" ht="15" customHeight="1">
      <c r="A38" s="65" t="s">
        <v>393</v>
      </c>
      <c r="B38" s="128">
        <v>1216.25</v>
      </c>
      <c r="C38" s="65">
        <v>0.23400000000000001</v>
      </c>
      <c r="D38" s="65">
        <v>0.20330000000000001</v>
      </c>
      <c r="E38" s="65">
        <v>0.1908</v>
      </c>
      <c r="F38" s="65">
        <v>0.21049999999999999</v>
      </c>
      <c r="G38" s="65">
        <v>0.2233</v>
      </c>
      <c r="H38" s="65">
        <v>0.2233</v>
      </c>
      <c r="I38" s="65">
        <v>0.22320000000000001</v>
      </c>
      <c r="J38" s="65">
        <v>0.15609999999999999</v>
      </c>
      <c r="K38" s="65">
        <v>0.23400000000000001</v>
      </c>
      <c r="L38" s="65">
        <v>0.1832</v>
      </c>
      <c r="M38" s="65">
        <v>0.2021</v>
      </c>
      <c r="N38" s="65">
        <v>0.33019999999999999</v>
      </c>
      <c r="O38" s="65">
        <v>0.33329999999999999</v>
      </c>
      <c r="P38" s="65">
        <v>0.31469999999999998</v>
      </c>
    </row>
    <row r="39" spans="1:16" ht="15" customHeight="1">
      <c r="A39" s="65" t="s">
        <v>394</v>
      </c>
      <c r="B39" s="128">
        <v>1352.7249999999999</v>
      </c>
      <c r="C39" s="65">
        <v>0.2442</v>
      </c>
      <c r="D39" s="65">
        <v>0.21260000000000001</v>
      </c>
      <c r="E39" s="65">
        <v>0.20419999999999999</v>
      </c>
      <c r="F39" s="65">
        <v>0.21659999999999999</v>
      </c>
      <c r="G39" s="65">
        <v>0.23169999999999999</v>
      </c>
      <c r="H39" s="65">
        <v>0.23169999999999999</v>
      </c>
      <c r="I39" s="65">
        <v>0.2316</v>
      </c>
      <c r="J39" s="65">
        <v>0.15939999999999999</v>
      </c>
      <c r="K39" s="65">
        <v>0.2442</v>
      </c>
      <c r="L39" s="65">
        <v>0.1938</v>
      </c>
      <c r="M39" s="65">
        <v>0.21379999999999999</v>
      </c>
      <c r="N39" s="65">
        <v>0.35149999999999998</v>
      </c>
      <c r="O39" s="65">
        <v>0.3569</v>
      </c>
      <c r="P39" s="65">
        <v>0.32800000000000001</v>
      </c>
    </row>
    <row r="40" spans="1:16" ht="15" customHeight="1">
      <c r="A40" s="65" t="s">
        <v>395</v>
      </c>
      <c r="B40" s="128">
        <v>1482.85</v>
      </c>
      <c r="C40" s="65">
        <v>0.2616</v>
      </c>
      <c r="D40" s="65">
        <v>0.23039999999999999</v>
      </c>
      <c r="E40" s="65">
        <v>0.21809999999999999</v>
      </c>
      <c r="F40" s="65">
        <v>0.23599999999999999</v>
      </c>
      <c r="G40" s="65">
        <v>0.25040000000000001</v>
      </c>
      <c r="H40" s="65">
        <v>0.25040000000000001</v>
      </c>
      <c r="I40" s="65">
        <v>0.25030000000000002</v>
      </c>
      <c r="J40" s="65">
        <v>0.1744</v>
      </c>
      <c r="K40" s="65">
        <v>0.2616</v>
      </c>
      <c r="L40" s="65">
        <v>0.20569999999999999</v>
      </c>
      <c r="M40" s="65">
        <v>0.2261</v>
      </c>
      <c r="N40" s="65">
        <v>0.3725</v>
      </c>
      <c r="O40" s="65">
        <v>0.37709999999999999</v>
      </c>
      <c r="P40" s="65">
        <v>0.3533</v>
      </c>
    </row>
    <row r="41" spans="1:16" ht="15" customHeight="1">
      <c r="A41" s="65" t="s">
        <v>396</v>
      </c>
      <c r="B41" s="128">
        <v>1606.925</v>
      </c>
      <c r="C41" s="65">
        <v>0.28860000000000002</v>
      </c>
      <c r="D41" s="65">
        <v>0.25280000000000002</v>
      </c>
      <c r="E41" s="65">
        <v>0.23760000000000001</v>
      </c>
      <c r="F41" s="65">
        <v>0.2586</v>
      </c>
      <c r="G41" s="65">
        <v>0.2762</v>
      </c>
      <c r="H41" s="65">
        <v>0.2762</v>
      </c>
      <c r="I41" s="65">
        <v>0.27610000000000001</v>
      </c>
      <c r="J41" s="65">
        <v>0.19339999999999999</v>
      </c>
      <c r="K41" s="65">
        <v>0.28860000000000002</v>
      </c>
      <c r="L41" s="65">
        <v>0.22109999999999999</v>
      </c>
      <c r="M41" s="65">
        <v>0.24099999999999999</v>
      </c>
      <c r="N41" s="65">
        <v>0.40489999999999998</v>
      </c>
      <c r="O41" s="65">
        <v>0.4083</v>
      </c>
      <c r="P41" s="65">
        <v>0.39240000000000003</v>
      </c>
    </row>
    <row r="42" spans="1:16" ht="15" customHeight="1">
      <c r="A42" s="65" t="s">
        <v>397</v>
      </c>
      <c r="B42" s="128">
        <v>1786.1</v>
      </c>
      <c r="C42" s="65">
        <v>0.30869999999999997</v>
      </c>
      <c r="D42" s="65">
        <v>0.27089999999999997</v>
      </c>
      <c r="E42" s="65">
        <v>0.2525</v>
      </c>
      <c r="F42" s="65">
        <v>0.27729999999999999</v>
      </c>
      <c r="G42" s="65">
        <v>0.29420000000000002</v>
      </c>
      <c r="H42" s="65">
        <v>0.29420000000000002</v>
      </c>
      <c r="I42" s="65">
        <v>0.29409999999999997</v>
      </c>
      <c r="J42" s="65">
        <v>0.20860000000000001</v>
      </c>
      <c r="K42" s="65">
        <v>0.30869999999999997</v>
      </c>
      <c r="L42" s="65">
        <v>0.23949999999999999</v>
      </c>
      <c r="M42" s="65">
        <v>0.26240000000000002</v>
      </c>
      <c r="N42" s="65">
        <v>0.43020000000000003</v>
      </c>
      <c r="O42" s="65">
        <v>0.43419999999999997</v>
      </c>
      <c r="P42" s="65">
        <v>0.41620000000000001</v>
      </c>
    </row>
    <row r="43" spans="1:16" ht="15" customHeight="1">
      <c r="A43" s="65" t="s">
        <v>52</v>
      </c>
      <c r="B43" s="65">
        <v>471.65</v>
      </c>
      <c r="C43" s="65">
        <v>0.318</v>
      </c>
      <c r="D43" s="65">
        <v>0.27760000000000001</v>
      </c>
      <c r="E43" s="65">
        <v>0.25740000000000002</v>
      </c>
      <c r="F43" s="65">
        <v>0.28439999999999999</v>
      </c>
      <c r="G43" s="65">
        <v>0.3034</v>
      </c>
      <c r="H43" s="65">
        <v>0.3034</v>
      </c>
      <c r="I43" s="65">
        <v>0.30330000000000001</v>
      </c>
      <c r="J43" s="65">
        <v>0.21629999999999999</v>
      </c>
      <c r="K43" s="65">
        <v>0.318</v>
      </c>
      <c r="L43" s="65">
        <v>0.2467</v>
      </c>
      <c r="M43" s="65">
        <v>0.2681</v>
      </c>
      <c r="N43" s="65">
        <v>0.44419999999999998</v>
      </c>
      <c r="O43" s="65">
        <v>0.44969999999999999</v>
      </c>
      <c r="P43" s="65">
        <v>0.4274</v>
      </c>
    </row>
    <row r="44" spans="1:16" ht="15" customHeight="1">
      <c r="A44" s="65" t="s">
        <v>398</v>
      </c>
      <c r="B44" s="128">
        <v>2024.325</v>
      </c>
      <c r="C44" s="65">
        <v>0.33100000000000002</v>
      </c>
      <c r="D44" s="65">
        <v>0.29060000000000002</v>
      </c>
      <c r="E44" s="65">
        <v>0.27250000000000002</v>
      </c>
      <c r="F44" s="65">
        <v>0.29680000000000001</v>
      </c>
      <c r="G44" s="65">
        <v>0.31630000000000003</v>
      </c>
      <c r="H44" s="65">
        <v>0.31640000000000001</v>
      </c>
      <c r="I44" s="65">
        <v>0.31619999999999998</v>
      </c>
      <c r="J44" s="65">
        <v>0.22370000000000001</v>
      </c>
      <c r="K44" s="65">
        <v>0.33100000000000002</v>
      </c>
      <c r="L44" s="65">
        <v>0.25819999999999999</v>
      </c>
      <c r="M44" s="65">
        <v>0.28179999999999999</v>
      </c>
      <c r="N44" s="65">
        <v>0.4632</v>
      </c>
      <c r="O44" s="65">
        <v>0.46960000000000002</v>
      </c>
      <c r="P44" s="65">
        <v>0.44090000000000001</v>
      </c>
    </row>
    <row r="45" spans="1:16" ht="15" customHeight="1">
      <c r="A45" s="65" t="s">
        <v>399</v>
      </c>
      <c r="B45" s="128">
        <v>2273.4499999999998</v>
      </c>
      <c r="C45" s="65">
        <v>0.3533</v>
      </c>
      <c r="D45" s="65">
        <v>0.30880000000000002</v>
      </c>
      <c r="E45" s="65">
        <v>0.29110000000000003</v>
      </c>
      <c r="F45" s="65">
        <v>0.31440000000000001</v>
      </c>
      <c r="G45" s="65">
        <v>0.33750000000000002</v>
      </c>
      <c r="H45" s="65">
        <v>0.33760000000000001</v>
      </c>
      <c r="I45" s="65">
        <v>0.33739999999999998</v>
      </c>
      <c r="J45" s="65">
        <v>0.2379</v>
      </c>
      <c r="K45" s="65">
        <v>0.3533</v>
      </c>
      <c r="L45" s="65">
        <v>0.27460000000000001</v>
      </c>
      <c r="M45" s="65">
        <v>0.29759999999999998</v>
      </c>
      <c r="N45" s="65">
        <v>0.49180000000000001</v>
      </c>
      <c r="O45" s="65">
        <v>0.50070000000000003</v>
      </c>
      <c r="P45" s="65">
        <v>0.46339999999999998</v>
      </c>
    </row>
    <row r="46" spans="1:16" ht="15" customHeight="1">
      <c r="A46" s="65" t="s">
        <v>400</v>
      </c>
      <c r="B46" s="128">
        <v>2565.5749999999998</v>
      </c>
      <c r="C46" s="65">
        <v>0.38179999999999997</v>
      </c>
      <c r="D46" s="65">
        <v>0.33560000000000001</v>
      </c>
      <c r="E46" s="65">
        <v>0.31490000000000001</v>
      </c>
      <c r="F46" s="65">
        <v>0.34239999999999998</v>
      </c>
      <c r="G46" s="65">
        <v>0.36549999999999999</v>
      </c>
      <c r="H46" s="65">
        <v>0.36559999999999998</v>
      </c>
      <c r="I46" s="65">
        <v>0.3654</v>
      </c>
      <c r="J46" s="65">
        <v>0.25969999999999999</v>
      </c>
      <c r="K46" s="65">
        <v>0.38179999999999997</v>
      </c>
      <c r="L46" s="65">
        <v>0.29220000000000002</v>
      </c>
      <c r="M46" s="65">
        <v>0.32090000000000002</v>
      </c>
      <c r="N46" s="65">
        <v>0.52569999999999995</v>
      </c>
      <c r="O46" s="65">
        <v>0.53500000000000003</v>
      </c>
      <c r="P46" s="65">
        <v>0.49440000000000001</v>
      </c>
    </row>
    <row r="47" spans="1:16" ht="15" customHeight="1">
      <c r="A47" s="65" t="s">
        <v>401</v>
      </c>
      <c r="B47" s="128">
        <v>2791.9</v>
      </c>
      <c r="C47" s="65">
        <v>0.41510000000000002</v>
      </c>
      <c r="D47" s="65">
        <v>0.37109999999999999</v>
      </c>
      <c r="E47" s="65">
        <v>0.34849999999999998</v>
      </c>
      <c r="F47" s="65">
        <v>0.37830000000000003</v>
      </c>
      <c r="G47" s="65">
        <v>0.4042</v>
      </c>
      <c r="H47" s="65">
        <v>0.40429999999999999</v>
      </c>
      <c r="I47" s="65">
        <v>0.40410000000000001</v>
      </c>
      <c r="J47" s="65">
        <v>0.28889999999999999</v>
      </c>
      <c r="K47" s="65">
        <v>0.41510000000000002</v>
      </c>
      <c r="L47" s="65">
        <v>0.31719999999999998</v>
      </c>
      <c r="M47" s="65">
        <v>0.34429999999999999</v>
      </c>
      <c r="N47" s="65">
        <v>0.56520000000000004</v>
      </c>
      <c r="O47" s="65">
        <v>0.57210000000000005</v>
      </c>
      <c r="P47" s="65">
        <v>0.53920000000000001</v>
      </c>
    </row>
    <row r="48" spans="1:16" ht="15" customHeight="1">
      <c r="A48" s="65" t="s">
        <v>402</v>
      </c>
      <c r="B48" s="128">
        <v>3133.2249999999999</v>
      </c>
      <c r="C48" s="65">
        <v>0.45590000000000003</v>
      </c>
      <c r="D48" s="65">
        <v>0.41220000000000001</v>
      </c>
      <c r="E48" s="65">
        <v>0.38650000000000001</v>
      </c>
      <c r="F48" s="65">
        <v>0.42059999999999997</v>
      </c>
      <c r="G48" s="65">
        <v>0.44359999999999999</v>
      </c>
      <c r="H48" s="65">
        <v>0.44359999999999999</v>
      </c>
      <c r="I48" s="65">
        <v>0.44340000000000002</v>
      </c>
      <c r="J48" s="65">
        <v>0.32300000000000001</v>
      </c>
      <c r="K48" s="65">
        <v>0.45590000000000003</v>
      </c>
      <c r="L48" s="65">
        <v>0.34599999999999997</v>
      </c>
      <c r="M48" s="65">
        <v>0.37530000000000002</v>
      </c>
      <c r="N48" s="65">
        <v>0.61550000000000005</v>
      </c>
      <c r="O48" s="65">
        <v>0.62229999999999996</v>
      </c>
      <c r="P48" s="65">
        <v>0.58709999999999996</v>
      </c>
    </row>
    <row r="49" spans="1:16" ht="15" customHeight="1">
      <c r="A49" s="65" t="s">
        <v>403</v>
      </c>
      <c r="B49" s="128">
        <v>3313.35</v>
      </c>
      <c r="C49" s="65">
        <v>0.48759999999999998</v>
      </c>
      <c r="D49" s="65">
        <v>0.44390000000000002</v>
      </c>
      <c r="E49" s="65">
        <v>0.42099999999999999</v>
      </c>
      <c r="F49" s="65">
        <v>0.45200000000000001</v>
      </c>
      <c r="G49" s="65">
        <v>0.47110000000000002</v>
      </c>
      <c r="H49" s="65">
        <v>0.47110000000000002</v>
      </c>
      <c r="I49" s="65">
        <v>0.47089999999999999</v>
      </c>
      <c r="J49" s="65">
        <v>0.35199999999999998</v>
      </c>
      <c r="K49" s="65">
        <v>0.48759999999999998</v>
      </c>
      <c r="L49" s="65">
        <v>0.36370000000000002</v>
      </c>
      <c r="M49" s="65">
        <v>0.39419999999999999</v>
      </c>
      <c r="N49" s="65">
        <v>0.66369999999999996</v>
      </c>
      <c r="O49" s="65">
        <v>0.67030000000000001</v>
      </c>
      <c r="P49" s="65">
        <v>0.62919999999999998</v>
      </c>
    </row>
    <row r="50" spans="1:16" ht="15" customHeight="1">
      <c r="A50" s="65" t="s">
        <v>404</v>
      </c>
      <c r="B50" s="128">
        <v>3536</v>
      </c>
      <c r="C50" s="65">
        <v>0.50890000000000002</v>
      </c>
      <c r="D50" s="65">
        <v>0.4657</v>
      </c>
      <c r="E50" s="65">
        <v>0.44169999999999998</v>
      </c>
      <c r="F50" s="65">
        <v>0.47470000000000001</v>
      </c>
      <c r="G50" s="65">
        <v>0.49259999999999998</v>
      </c>
      <c r="H50" s="65">
        <v>0.49259999999999998</v>
      </c>
      <c r="I50" s="65">
        <v>0.4924</v>
      </c>
      <c r="J50" s="65">
        <v>0.37019999999999997</v>
      </c>
      <c r="K50" s="65">
        <v>0.50890000000000002</v>
      </c>
      <c r="L50" s="65">
        <v>0.37569999999999998</v>
      </c>
      <c r="M50" s="65">
        <v>0.40539999999999998</v>
      </c>
      <c r="N50" s="65">
        <v>0.70279999999999998</v>
      </c>
      <c r="O50" s="65">
        <v>0.71060000000000001</v>
      </c>
      <c r="P50" s="65">
        <v>0.65100000000000002</v>
      </c>
    </row>
    <row r="51" spans="1:16" ht="15" customHeight="1">
      <c r="A51" s="65" t="s">
        <v>405</v>
      </c>
      <c r="B51" s="128">
        <v>3949.1750000000002</v>
      </c>
      <c r="C51" s="65">
        <v>0.52710000000000001</v>
      </c>
      <c r="D51" s="65">
        <v>0.48799999999999999</v>
      </c>
      <c r="E51" s="65">
        <v>0.46460000000000001</v>
      </c>
      <c r="F51" s="65">
        <v>0.49709999999999999</v>
      </c>
      <c r="G51" s="65">
        <v>0.51149999999999995</v>
      </c>
      <c r="H51" s="65">
        <v>0.51149999999999995</v>
      </c>
      <c r="I51" s="65">
        <v>0.51129999999999998</v>
      </c>
      <c r="J51" s="65">
        <v>0.38950000000000001</v>
      </c>
      <c r="K51" s="65">
        <v>0.52710000000000001</v>
      </c>
      <c r="L51" s="65">
        <v>0.38579999999999998</v>
      </c>
      <c r="M51" s="65">
        <v>0.42820000000000003</v>
      </c>
      <c r="N51" s="65">
        <v>0.73140000000000005</v>
      </c>
      <c r="O51" s="65">
        <v>0.74150000000000005</v>
      </c>
      <c r="P51" s="65">
        <v>0.66890000000000005</v>
      </c>
    </row>
    <row r="52" spans="1:16" ht="15" customHeight="1">
      <c r="A52" s="65" t="s">
        <v>406</v>
      </c>
      <c r="B52" s="128">
        <v>4265.125</v>
      </c>
      <c r="C52" s="65">
        <v>0.54469999999999996</v>
      </c>
      <c r="D52" s="65">
        <v>0.50590000000000002</v>
      </c>
      <c r="E52" s="65">
        <v>0.48270000000000002</v>
      </c>
      <c r="F52" s="65">
        <v>0.51500000000000001</v>
      </c>
      <c r="G52" s="65">
        <v>0.52939999999999998</v>
      </c>
      <c r="H52" s="65">
        <v>0.52939999999999998</v>
      </c>
      <c r="I52" s="65">
        <v>0.52910000000000001</v>
      </c>
      <c r="J52" s="65">
        <v>0.40600000000000003</v>
      </c>
      <c r="K52" s="65">
        <v>0.54469999999999996</v>
      </c>
      <c r="L52" s="65">
        <v>0.40229999999999999</v>
      </c>
      <c r="M52" s="65">
        <v>0.44650000000000001</v>
      </c>
      <c r="N52" s="65">
        <v>0.73819999999999997</v>
      </c>
      <c r="O52" s="65">
        <v>0.74739999999999995</v>
      </c>
      <c r="P52" s="65">
        <v>0.68379999999999996</v>
      </c>
    </row>
    <row r="53" spans="1:16" ht="15" customHeight="1">
      <c r="A53" s="65" t="s">
        <v>407</v>
      </c>
      <c r="B53" s="128">
        <v>4526.25</v>
      </c>
      <c r="C53" s="65">
        <v>0.55689999999999995</v>
      </c>
      <c r="D53" s="65">
        <v>0.51649999999999996</v>
      </c>
      <c r="E53" s="65">
        <v>0.49349999999999999</v>
      </c>
      <c r="F53" s="65">
        <v>0.52580000000000005</v>
      </c>
      <c r="G53" s="65">
        <v>0.54320000000000002</v>
      </c>
      <c r="H53" s="65">
        <v>0.54320000000000002</v>
      </c>
      <c r="I53" s="65">
        <v>0.54290000000000005</v>
      </c>
      <c r="J53" s="65">
        <v>0.42059999999999997</v>
      </c>
      <c r="K53" s="65">
        <v>0.55689999999999995</v>
      </c>
      <c r="L53" s="65">
        <v>0.40720000000000001</v>
      </c>
      <c r="M53" s="65">
        <v>0.44640000000000002</v>
      </c>
      <c r="N53" s="65">
        <v>0.73299999999999998</v>
      </c>
      <c r="O53" s="65">
        <v>0.7389</v>
      </c>
      <c r="P53" s="65">
        <v>0.69210000000000005</v>
      </c>
    </row>
    <row r="54" spans="1:16" ht="15" customHeight="1">
      <c r="A54" s="65" t="s">
        <v>408</v>
      </c>
      <c r="B54" s="128">
        <v>4767.6499999999996</v>
      </c>
      <c r="C54" s="65">
        <v>0.56940000000000002</v>
      </c>
      <c r="D54" s="65">
        <v>0.53139999999999998</v>
      </c>
      <c r="E54" s="65">
        <v>0.50080000000000002</v>
      </c>
      <c r="F54" s="65">
        <v>0.5444</v>
      </c>
      <c r="G54" s="65">
        <v>0.55710000000000004</v>
      </c>
      <c r="H54" s="65">
        <v>0.55720000000000003</v>
      </c>
      <c r="I54" s="65">
        <v>0.55689999999999995</v>
      </c>
      <c r="J54" s="65">
        <v>0.44209999999999999</v>
      </c>
      <c r="K54" s="65">
        <v>0.56940000000000002</v>
      </c>
      <c r="L54" s="65">
        <v>0.4088</v>
      </c>
      <c r="M54" s="65">
        <v>0.45600000000000002</v>
      </c>
      <c r="N54" s="65">
        <v>0.7258</v>
      </c>
      <c r="O54" s="65">
        <v>0.72950000000000004</v>
      </c>
      <c r="P54" s="65">
        <v>0.7016</v>
      </c>
    </row>
    <row r="55" spans="1:16" ht="15" customHeight="1">
      <c r="A55" s="65" t="s">
        <v>409</v>
      </c>
      <c r="B55" s="128">
        <v>5138.55</v>
      </c>
      <c r="C55" s="65">
        <v>0.58779999999999999</v>
      </c>
      <c r="D55" s="65">
        <v>0.54969999999999997</v>
      </c>
      <c r="E55" s="65">
        <v>0.51339999999999997</v>
      </c>
      <c r="F55" s="65">
        <v>0.56459999999999999</v>
      </c>
      <c r="G55" s="65">
        <v>0.57830000000000004</v>
      </c>
      <c r="H55" s="65">
        <v>0.57840000000000003</v>
      </c>
      <c r="I55" s="65">
        <v>0.57789999999999997</v>
      </c>
      <c r="J55" s="65">
        <v>0.45900000000000002</v>
      </c>
      <c r="K55" s="65">
        <v>0.58779999999999999</v>
      </c>
      <c r="L55" s="65">
        <v>0.42170000000000002</v>
      </c>
      <c r="M55" s="65">
        <v>0.47370000000000001</v>
      </c>
      <c r="N55" s="65">
        <v>0.72719999999999996</v>
      </c>
      <c r="O55" s="65">
        <v>0.72819999999999996</v>
      </c>
      <c r="P55" s="65">
        <v>0.72160000000000002</v>
      </c>
    </row>
    <row r="56" spans="1:16" ht="15" customHeight="1">
      <c r="A56" s="65" t="s">
        <v>410</v>
      </c>
      <c r="B56" s="128">
        <v>5554.6750000000002</v>
      </c>
      <c r="C56" s="65">
        <v>0.61160000000000003</v>
      </c>
      <c r="D56" s="65">
        <v>0.57140000000000002</v>
      </c>
      <c r="E56" s="65">
        <v>0.53320000000000001</v>
      </c>
      <c r="F56" s="65">
        <v>0.58660000000000001</v>
      </c>
      <c r="G56" s="65">
        <v>0.60399999999999998</v>
      </c>
      <c r="H56" s="65">
        <v>0.60409999999999997</v>
      </c>
      <c r="I56" s="65">
        <v>0.60309999999999997</v>
      </c>
      <c r="J56" s="65">
        <v>0.47820000000000001</v>
      </c>
      <c r="K56" s="65">
        <v>0.61160000000000003</v>
      </c>
      <c r="L56" s="65">
        <v>0.43240000000000001</v>
      </c>
      <c r="M56" s="65">
        <v>0.48180000000000001</v>
      </c>
      <c r="N56" s="65">
        <v>0.74370000000000003</v>
      </c>
      <c r="O56" s="65">
        <v>0.74339999999999995</v>
      </c>
      <c r="P56" s="65">
        <v>0.74550000000000005</v>
      </c>
    </row>
    <row r="57" spans="1:16" ht="15" customHeight="1">
      <c r="A57" s="65" t="s">
        <v>411</v>
      </c>
      <c r="B57" s="128">
        <v>5898.75</v>
      </c>
      <c r="C57" s="65">
        <v>0.63400000000000001</v>
      </c>
      <c r="D57" s="65">
        <v>0.58799999999999997</v>
      </c>
      <c r="E57" s="65">
        <v>0.55149999999999999</v>
      </c>
      <c r="F57" s="65">
        <v>0.60040000000000004</v>
      </c>
      <c r="G57" s="65">
        <v>0.62860000000000005</v>
      </c>
      <c r="H57" s="65">
        <v>0.62880000000000003</v>
      </c>
      <c r="I57" s="65">
        <v>0.62729999999999997</v>
      </c>
      <c r="J57" s="65">
        <v>0.50139999999999996</v>
      </c>
      <c r="K57" s="65">
        <v>0.63400000000000001</v>
      </c>
      <c r="L57" s="65">
        <v>0.44419999999999998</v>
      </c>
      <c r="M57" s="65">
        <v>0.4834</v>
      </c>
      <c r="N57" s="65">
        <v>0.75700000000000001</v>
      </c>
      <c r="O57" s="65">
        <v>0.75570000000000004</v>
      </c>
      <c r="P57" s="65">
        <v>0.76459999999999995</v>
      </c>
    </row>
    <row r="58" spans="1:16" ht="15" customHeight="1">
      <c r="A58" s="65" t="s">
        <v>412</v>
      </c>
      <c r="B58" s="128">
        <v>6093.1750000000002</v>
      </c>
      <c r="C58" s="65">
        <v>0.65659999999999996</v>
      </c>
      <c r="D58" s="65">
        <v>0.61429999999999996</v>
      </c>
      <c r="E58" s="65">
        <v>0.57879999999999998</v>
      </c>
      <c r="F58" s="65">
        <v>0.62429999999999997</v>
      </c>
      <c r="G58" s="65">
        <v>0.65359999999999996</v>
      </c>
      <c r="H58" s="65">
        <v>0.65380000000000005</v>
      </c>
      <c r="I58" s="65">
        <v>0.65200000000000002</v>
      </c>
      <c r="J58" s="65">
        <v>0.52239999999999998</v>
      </c>
      <c r="K58" s="65">
        <v>0.65659999999999996</v>
      </c>
      <c r="L58" s="65">
        <v>0.47089999999999999</v>
      </c>
      <c r="M58" s="65">
        <v>0.50839999999999996</v>
      </c>
      <c r="N58" s="65">
        <v>0.77490000000000003</v>
      </c>
      <c r="O58" s="65">
        <v>0.7732</v>
      </c>
      <c r="P58" s="65">
        <v>0.78420000000000001</v>
      </c>
    </row>
    <row r="59" spans="1:16" ht="15" customHeight="1">
      <c r="A59" s="65" t="s">
        <v>413</v>
      </c>
      <c r="B59" s="128">
        <v>6416.25</v>
      </c>
      <c r="C59" s="65">
        <v>0.67300000000000004</v>
      </c>
      <c r="D59" s="65">
        <v>0.63929999999999998</v>
      </c>
      <c r="E59" s="65">
        <v>0.58799999999999997</v>
      </c>
      <c r="F59" s="65">
        <v>0.65500000000000003</v>
      </c>
      <c r="G59" s="65">
        <v>0.67069999999999996</v>
      </c>
      <c r="H59" s="65">
        <v>0.67100000000000004</v>
      </c>
      <c r="I59" s="65">
        <v>0.66890000000000005</v>
      </c>
      <c r="J59" s="65">
        <v>0.53779999999999994</v>
      </c>
      <c r="K59" s="65">
        <v>0.67300000000000004</v>
      </c>
      <c r="L59" s="65">
        <v>0.48759999999999998</v>
      </c>
      <c r="M59" s="65">
        <v>0.55320000000000003</v>
      </c>
      <c r="N59" s="65">
        <v>0.78680000000000005</v>
      </c>
      <c r="O59" s="65">
        <v>0.78590000000000004</v>
      </c>
      <c r="P59" s="65">
        <v>0.79069999999999996</v>
      </c>
    </row>
    <row r="60" spans="1:16" ht="15" customHeight="1">
      <c r="A60" s="65" t="s">
        <v>414</v>
      </c>
      <c r="B60" s="128">
        <v>6775.3249999999998</v>
      </c>
      <c r="C60" s="65">
        <v>0.68879999999999997</v>
      </c>
      <c r="D60" s="65">
        <v>0.65820000000000001</v>
      </c>
      <c r="E60" s="65">
        <v>0.59389999999999998</v>
      </c>
      <c r="F60" s="65">
        <v>0.67730000000000001</v>
      </c>
      <c r="G60" s="65">
        <v>0.68789999999999996</v>
      </c>
      <c r="H60" s="65">
        <v>0.68840000000000001</v>
      </c>
      <c r="I60" s="65">
        <v>0.68559999999999999</v>
      </c>
      <c r="J60" s="65">
        <v>0.55459999999999998</v>
      </c>
      <c r="K60" s="65">
        <v>0.68879999999999997</v>
      </c>
      <c r="L60" s="65">
        <v>0.51300000000000001</v>
      </c>
      <c r="M60" s="65">
        <v>0.59599999999999997</v>
      </c>
      <c r="N60" s="65">
        <v>0.80569999999999997</v>
      </c>
      <c r="O60" s="65">
        <v>0.80630000000000002</v>
      </c>
      <c r="P60" s="65">
        <v>0.80349999999999999</v>
      </c>
    </row>
    <row r="61" spans="1:16" ht="15" customHeight="1">
      <c r="A61" s="65" t="s">
        <v>415</v>
      </c>
      <c r="B61" s="128">
        <v>7176.85</v>
      </c>
      <c r="C61" s="65">
        <v>0.70379999999999998</v>
      </c>
      <c r="D61" s="65">
        <v>0.66979999999999995</v>
      </c>
      <c r="E61" s="65">
        <v>0.59950000000000003</v>
      </c>
      <c r="F61" s="65">
        <v>0.68910000000000005</v>
      </c>
      <c r="G61" s="65">
        <v>0.70230000000000004</v>
      </c>
      <c r="H61" s="65">
        <v>0.70289999999999997</v>
      </c>
      <c r="I61" s="65">
        <v>0.69920000000000004</v>
      </c>
      <c r="J61" s="65">
        <v>0.56889999999999996</v>
      </c>
      <c r="K61" s="65">
        <v>0.70379999999999998</v>
      </c>
      <c r="L61" s="65">
        <v>0.53610000000000002</v>
      </c>
      <c r="M61" s="65">
        <v>0.60240000000000005</v>
      </c>
      <c r="N61" s="65">
        <v>0.82499999999999996</v>
      </c>
      <c r="O61" s="65">
        <v>0.82699999999999996</v>
      </c>
      <c r="P61" s="65">
        <v>0.81740000000000002</v>
      </c>
    </row>
    <row r="62" spans="1:16" ht="15" customHeight="1">
      <c r="A62" s="65" t="s">
        <v>416</v>
      </c>
      <c r="B62" s="128">
        <v>7560.4250000000002</v>
      </c>
      <c r="C62" s="65">
        <v>0.71879999999999999</v>
      </c>
      <c r="D62" s="65">
        <v>0.68969999999999998</v>
      </c>
      <c r="E62" s="65">
        <v>0.61109999999999998</v>
      </c>
      <c r="F62" s="65">
        <v>0.7097</v>
      </c>
      <c r="G62" s="65">
        <v>0.71740000000000004</v>
      </c>
      <c r="H62" s="65">
        <v>0.71809999999999996</v>
      </c>
      <c r="I62" s="65">
        <v>0.71430000000000005</v>
      </c>
      <c r="J62" s="65">
        <v>0.58840000000000003</v>
      </c>
      <c r="K62" s="65">
        <v>0.71879999999999999</v>
      </c>
      <c r="L62" s="65">
        <v>0.55310000000000004</v>
      </c>
      <c r="M62" s="65">
        <v>0.64290000000000003</v>
      </c>
      <c r="N62" s="65">
        <v>0.84599999999999997</v>
      </c>
      <c r="O62" s="65">
        <v>0.84789999999999999</v>
      </c>
      <c r="P62" s="65">
        <v>0.84040000000000004</v>
      </c>
    </row>
    <row r="63" spans="1:16" ht="15" customHeight="1">
      <c r="A63" s="65" t="s">
        <v>417</v>
      </c>
      <c r="B63" s="128">
        <v>7951.3249999999998</v>
      </c>
      <c r="C63" s="65">
        <v>0.73229999999999995</v>
      </c>
      <c r="D63" s="65">
        <v>0.70420000000000005</v>
      </c>
      <c r="E63" s="65">
        <v>0.62429999999999997</v>
      </c>
      <c r="F63" s="65">
        <v>0.72319999999999995</v>
      </c>
      <c r="G63" s="65">
        <v>0.73199999999999998</v>
      </c>
      <c r="H63" s="65">
        <v>0.73260000000000003</v>
      </c>
      <c r="I63" s="65">
        <v>0.7288</v>
      </c>
      <c r="J63" s="65">
        <v>0.60560000000000003</v>
      </c>
      <c r="K63" s="65">
        <v>0.73229999999999995</v>
      </c>
      <c r="L63" s="65">
        <v>0.57940000000000003</v>
      </c>
      <c r="M63" s="65">
        <v>0.66220000000000001</v>
      </c>
      <c r="N63" s="65">
        <v>0.85670000000000002</v>
      </c>
      <c r="O63" s="65">
        <v>0.86029999999999995</v>
      </c>
      <c r="P63" s="65">
        <v>0.84719999999999995</v>
      </c>
    </row>
    <row r="64" spans="1:16" ht="15" customHeight="1">
      <c r="A64" s="65" t="s">
        <v>418</v>
      </c>
      <c r="B64" s="128">
        <v>8451.0249999999996</v>
      </c>
      <c r="C64" s="65">
        <v>0.74529999999999996</v>
      </c>
      <c r="D64" s="65">
        <v>0.71899999999999997</v>
      </c>
      <c r="E64" s="65">
        <v>0.63400000000000001</v>
      </c>
      <c r="F64" s="65">
        <v>0.73919999999999997</v>
      </c>
      <c r="G64" s="65">
        <v>0.74680000000000002</v>
      </c>
      <c r="H64" s="65">
        <v>0.74739999999999995</v>
      </c>
      <c r="I64" s="65">
        <v>0.74350000000000005</v>
      </c>
      <c r="J64" s="65">
        <v>0.61729999999999996</v>
      </c>
      <c r="K64" s="65">
        <v>0.74529999999999996</v>
      </c>
      <c r="L64" s="65">
        <v>0.59370000000000001</v>
      </c>
      <c r="M64" s="65">
        <v>0.67710000000000004</v>
      </c>
      <c r="N64" s="65">
        <v>0.85499999999999998</v>
      </c>
      <c r="O64" s="65">
        <v>0.85719999999999996</v>
      </c>
      <c r="P64" s="65">
        <v>0.84919999999999995</v>
      </c>
    </row>
    <row r="65" spans="1:16" ht="15" customHeight="1">
      <c r="A65" s="65" t="s">
        <v>419</v>
      </c>
      <c r="B65" s="128">
        <v>8930.7999999999993</v>
      </c>
      <c r="C65" s="65">
        <v>0.75460000000000005</v>
      </c>
      <c r="D65" s="65">
        <v>0.72499999999999998</v>
      </c>
      <c r="E65" s="65">
        <v>0.64600000000000002</v>
      </c>
      <c r="F65" s="65">
        <v>0.74260000000000004</v>
      </c>
      <c r="G65" s="65">
        <v>0.75380000000000003</v>
      </c>
      <c r="H65" s="65">
        <v>0.75429999999999997</v>
      </c>
      <c r="I65" s="65">
        <v>0.75149999999999995</v>
      </c>
      <c r="J65" s="65">
        <v>0.62509999999999999</v>
      </c>
      <c r="K65" s="65">
        <v>0.75460000000000005</v>
      </c>
      <c r="L65" s="65">
        <v>0.60599999999999998</v>
      </c>
      <c r="M65" s="65">
        <v>0.66290000000000004</v>
      </c>
      <c r="N65" s="65">
        <v>0.85570000000000002</v>
      </c>
      <c r="O65" s="65">
        <v>0.85719999999999996</v>
      </c>
      <c r="P65" s="65">
        <v>0.85050000000000003</v>
      </c>
    </row>
    <row r="66" spans="1:16" ht="15" customHeight="1">
      <c r="A66" s="65" t="s">
        <v>420</v>
      </c>
      <c r="B66" s="128">
        <v>9479.35</v>
      </c>
      <c r="C66" s="65">
        <v>0.76429999999999998</v>
      </c>
      <c r="D66" s="65">
        <v>0.7339</v>
      </c>
      <c r="E66" s="65">
        <v>0.65890000000000004</v>
      </c>
      <c r="F66" s="65">
        <v>0.75039999999999996</v>
      </c>
      <c r="G66" s="65">
        <v>0.76280000000000003</v>
      </c>
      <c r="H66" s="65">
        <v>0.76319999999999999</v>
      </c>
      <c r="I66" s="65">
        <v>0.76080000000000003</v>
      </c>
      <c r="J66" s="65">
        <v>0.64029999999999998</v>
      </c>
      <c r="K66" s="65">
        <v>0.76429999999999998</v>
      </c>
      <c r="L66" s="65">
        <v>0.62450000000000006</v>
      </c>
      <c r="M66" s="65">
        <v>0.68179999999999996</v>
      </c>
      <c r="N66" s="65">
        <v>0.86429999999999996</v>
      </c>
      <c r="O66" s="65">
        <v>0.86750000000000005</v>
      </c>
      <c r="P66" s="65">
        <v>0.85619999999999996</v>
      </c>
    </row>
    <row r="67" spans="1:16" ht="15" customHeight="1">
      <c r="A67" s="65" t="s">
        <v>421</v>
      </c>
      <c r="B67" s="128">
        <v>10117.450000000001</v>
      </c>
      <c r="C67" s="65">
        <v>0.78</v>
      </c>
      <c r="D67" s="65">
        <v>0.75249999999999995</v>
      </c>
      <c r="E67" s="65">
        <v>0.68210000000000004</v>
      </c>
      <c r="F67" s="65">
        <v>0.7681</v>
      </c>
      <c r="G67" s="65">
        <v>0.78069999999999995</v>
      </c>
      <c r="H67" s="65">
        <v>0.78120000000000001</v>
      </c>
      <c r="I67" s="65">
        <v>0.77839999999999998</v>
      </c>
      <c r="J67" s="65">
        <v>0.66459999999999997</v>
      </c>
      <c r="K67" s="65">
        <v>0.78</v>
      </c>
      <c r="L67" s="65">
        <v>0.65680000000000005</v>
      </c>
      <c r="M67" s="65">
        <v>0.7077</v>
      </c>
      <c r="N67" s="65">
        <v>0.87649999999999995</v>
      </c>
      <c r="O67" s="65">
        <v>0.87819999999999998</v>
      </c>
      <c r="P67" s="65">
        <v>0.87280000000000002</v>
      </c>
    </row>
    <row r="68" spans="1:16" ht="15" customHeight="1">
      <c r="A68" s="65" t="s">
        <v>422</v>
      </c>
      <c r="B68" s="128">
        <v>10526.5</v>
      </c>
      <c r="C68" s="65">
        <v>0.7984</v>
      </c>
      <c r="D68" s="65">
        <v>0.7722</v>
      </c>
      <c r="E68" s="65">
        <v>0.70540000000000003</v>
      </c>
      <c r="F68" s="65">
        <v>0.78669999999999995</v>
      </c>
      <c r="G68" s="65">
        <v>0.79810000000000003</v>
      </c>
      <c r="H68" s="65">
        <v>0.79849999999999999</v>
      </c>
      <c r="I68" s="65">
        <v>0.79600000000000004</v>
      </c>
      <c r="J68" s="65">
        <v>0.68589999999999995</v>
      </c>
      <c r="K68" s="65">
        <v>0.7984</v>
      </c>
      <c r="L68" s="65">
        <v>0.6714</v>
      </c>
      <c r="M68" s="65">
        <v>0.73019999999999996</v>
      </c>
      <c r="N68" s="65">
        <v>0.88070000000000004</v>
      </c>
      <c r="O68" s="65">
        <v>0.88</v>
      </c>
      <c r="P68" s="65">
        <v>0.8821</v>
      </c>
    </row>
    <row r="69" spans="1:16" ht="15" customHeight="1">
      <c r="A69" s="65" t="s">
        <v>423</v>
      </c>
      <c r="B69" s="128">
        <v>10833.65</v>
      </c>
      <c r="C69" s="65">
        <v>0.81120000000000003</v>
      </c>
      <c r="D69" s="65">
        <v>0.78410000000000002</v>
      </c>
      <c r="E69" s="65">
        <v>0.72840000000000005</v>
      </c>
      <c r="F69" s="65">
        <v>0.79690000000000005</v>
      </c>
      <c r="G69" s="65">
        <v>0.80730000000000002</v>
      </c>
      <c r="H69" s="65">
        <v>0.80779999999999996</v>
      </c>
      <c r="I69" s="65">
        <v>0.8054</v>
      </c>
      <c r="J69" s="65">
        <v>0.6996</v>
      </c>
      <c r="K69" s="65">
        <v>0.81120000000000003</v>
      </c>
      <c r="L69" s="65">
        <v>0.70920000000000005</v>
      </c>
      <c r="M69" s="65">
        <v>0.75619999999999998</v>
      </c>
      <c r="N69" s="65">
        <v>0.87619999999999998</v>
      </c>
      <c r="O69" s="65">
        <v>0.87390000000000001</v>
      </c>
      <c r="P69" s="65">
        <v>0.88139999999999996</v>
      </c>
    </row>
    <row r="70" spans="1:16" ht="15" customHeight="1">
      <c r="A70" s="65" t="s">
        <v>424</v>
      </c>
      <c r="B70" s="128">
        <v>11283.8</v>
      </c>
      <c r="C70" s="65">
        <v>0.82599999999999996</v>
      </c>
      <c r="D70" s="65">
        <v>0.80640000000000001</v>
      </c>
      <c r="E70" s="65">
        <v>0.77549999999999997</v>
      </c>
      <c r="F70" s="65">
        <v>0.81389999999999996</v>
      </c>
      <c r="G70" s="65">
        <v>0.82320000000000004</v>
      </c>
      <c r="H70" s="65">
        <v>0.82369999999999999</v>
      </c>
      <c r="I70" s="65">
        <v>0.82130000000000003</v>
      </c>
      <c r="J70" s="65">
        <v>0.71950000000000003</v>
      </c>
      <c r="K70" s="65">
        <v>0.82599999999999996</v>
      </c>
      <c r="L70" s="65">
        <v>0.74760000000000004</v>
      </c>
      <c r="M70" s="65">
        <v>0.78849999999999998</v>
      </c>
      <c r="N70" s="65">
        <v>0.8831</v>
      </c>
      <c r="O70" s="65">
        <v>0.88219999999999998</v>
      </c>
      <c r="P70" s="65">
        <v>0.88539999999999996</v>
      </c>
    </row>
    <row r="71" spans="1:16" ht="15" customHeight="1">
      <c r="A71" s="65" t="s">
        <v>425</v>
      </c>
      <c r="B71" s="128">
        <v>12025.45</v>
      </c>
      <c r="C71" s="65">
        <v>0.8458</v>
      </c>
      <c r="D71" s="65">
        <v>0.82740000000000002</v>
      </c>
      <c r="E71" s="65">
        <v>0.80469999999999997</v>
      </c>
      <c r="F71" s="65">
        <v>0.83320000000000005</v>
      </c>
      <c r="G71" s="65">
        <v>0.84150000000000003</v>
      </c>
      <c r="H71" s="65">
        <v>0.84189999999999998</v>
      </c>
      <c r="I71" s="65">
        <v>0.83989999999999998</v>
      </c>
      <c r="J71" s="65">
        <v>0.74629999999999996</v>
      </c>
      <c r="K71" s="65">
        <v>0.8458</v>
      </c>
      <c r="L71" s="65">
        <v>0.78369999999999995</v>
      </c>
      <c r="M71" s="65">
        <v>0.81459999999999999</v>
      </c>
      <c r="N71" s="65">
        <v>0.89500000000000002</v>
      </c>
      <c r="O71" s="65">
        <v>0.89429999999999998</v>
      </c>
      <c r="P71" s="65">
        <v>0.89710000000000001</v>
      </c>
    </row>
    <row r="72" spans="1:16" ht="15" customHeight="1">
      <c r="A72" s="65" t="s">
        <v>426</v>
      </c>
      <c r="B72" s="128">
        <v>12834.15</v>
      </c>
      <c r="C72" s="65">
        <v>0.87160000000000004</v>
      </c>
      <c r="D72" s="65">
        <v>0.85580000000000001</v>
      </c>
      <c r="E72" s="65">
        <v>0.84309999999999996</v>
      </c>
      <c r="F72" s="65">
        <v>0.85909999999999997</v>
      </c>
      <c r="G72" s="65">
        <v>0.86519999999999997</v>
      </c>
      <c r="H72" s="65">
        <v>0.86539999999999995</v>
      </c>
      <c r="I72" s="65">
        <v>0.86399999999999999</v>
      </c>
      <c r="J72" s="65">
        <v>0.79</v>
      </c>
      <c r="K72" s="65">
        <v>0.87160000000000004</v>
      </c>
      <c r="L72" s="65">
        <v>0.82030000000000003</v>
      </c>
      <c r="M72" s="65">
        <v>0.84370000000000001</v>
      </c>
      <c r="N72" s="65">
        <v>0.91169999999999995</v>
      </c>
      <c r="O72" s="65">
        <v>0.91080000000000005</v>
      </c>
      <c r="P72" s="65">
        <v>0.91469999999999996</v>
      </c>
    </row>
    <row r="73" spans="1:16" ht="15" customHeight="1">
      <c r="A73" s="65" t="s">
        <v>427</v>
      </c>
      <c r="B73" s="128">
        <v>13638.375</v>
      </c>
      <c r="C73" s="65">
        <v>0.89949999999999997</v>
      </c>
      <c r="D73" s="65">
        <v>0.88539999999999996</v>
      </c>
      <c r="E73" s="65">
        <v>0.87919999999999998</v>
      </c>
      <c r="F73" s="65">
        <v>0.88700000000000001</v>
      </c>
      <c r="G73" s="65">
        <v>0.89149999999999996</v>
      </c>
      <c r="H73" s="65">
        <v>0.89159999999999995</v>
      </c>
      <c r="I73" s="65">
        <v>0.89059999999999995</v>
      </c>
      <c r="J73" s="65">
        <v>0.8306</v>
      </c>
      <c r="K73" s="65">
        <v>0.89949999999999997</v>
      </c>
      <c r="L73" s="65">
        <v>0.85040000000000004</v>
      </c>
      <c r="M73" s="65">
        <v>0.87109999999999999</v>
      </c>
      <c r="N73" s="65">
        <v>0.92659999999999998</v>
      </c>
      <c r="O73" s="65">
        <v>0.9264</v>
      </c>
      <c r="P73" s="65">
        <v>0.9274</v>
      </c>
    </row>
    <row r="74" spans="1:16" ht="15" customHeight="1">
      <c r="A74" s="65" t="s">
        <v>428</v>
      </c>
      <c r="B74" s="128">
        <v>14290.8</v>
      </c>
      <c r="C74" s="65">
        <v>0.92400000000000004</v>
      </c>
      <c r="D74" s="65">
        <v>0.90990000000000004</v>
      </c>
      <c r="E74" s="65">
        <v>0.90810000000000002</v>
      </c>
      <c r="F74" s="65">
        <v>0.9103</v>
      </c>
      <c r="G74" s="65">
        <v>0.91090000000000004</v>
      </c>
      <c r="H74" s="65">
        <v>0.91090000000000004</v>
      </c>
      <c r="I74" s="65">
        <v>0.91049999999999998</v>
      </c>
      <c r="J74" s="65">
        <v>0.87549999999999994</v>
      </c>
      <c r="K74" s="65">
        <v>0.92400000000000004</v>
      </c>
      <c r="L74" s="65">
        <v>0.88119999999999998</v>
      </c>
      <c r="M74" s="65">
        <v>0.90329999999999999</v>
      </c>
      <c r="N74" s="65">
        <v>0.93959999999999999</v>
      </c>
      <c r="O74" s="65">
        <v>0.94010000000000005</v>
      </c>
      <c r="P74" s="65">
        <v>0.93810000000000004</v>
      </c>
    </row>
    <row r="75" spans="1:16" ht="15" customHeight="1">
      <c r="A75" s="65" t="s">
        <v>429</v>
      </c>
      <c r="B75" s="128">
        <v>14743.325000000001</v>
      </c>
      <c r="C75" s="65">
        <v>0.94310000000000005</v>
      </c>
      <c r="D75" s="65">
        <v>0.94140000000000001</v>
      </c>
      <c r="E75" s="65">
        <v>0.94310000000000005</v>
      </c>
      <c r="F75" s="65">
        <v>0.94089999999999996</v>
      </c>
      <c r="G75" s="65">
        <v>0.94279999999999997</v>
      </c>
      <c r="H75" s="65">
        <v>0.94279999999999997</v>
      </c>
      <c r="I75" s="65">
        <v>0.94259999999999999</v>
      </c>
      <c r="J75" s="65">
        <v>0.91879999999999995</v>
      </c>
      <c r="K75" s="65">
        <v>0.94310000000000005</v>
      </c>
      <c r="L75" s="65">
        <v>0.90969999999999995</v>
      </c>
      <c r="M75" s="65">
        <v>0.92549999999999999</v>
      </c>
      <c r="N75" s="65">
        <v>0.95689999999999997</v>
      </c>
      <c r="O75" s="65">
        <v>0.95709999999999995</v>
      </c>
      <c r="P75" s="65">
        <v>0.95599999999999996</v>
      </c>
    </row>
    <row r="76" spans="1:16" ht="15" customHeight="1">
      <c r="A76" s="65" t="s">
        <v>430</v>
      </c>
      <c r="B76" s="128">
        <v>14431.8</v>
      </c>
      <c r="C76" s="65">
        <v>0.95399999999999996</v>
      </c>
      <c r="D76" s="65">
        <v>0.94130000000000003</v>
      </c>
      <c r="E76" s="65">
        <v>0.94120000000000004</v>
      </c>
      <c r="F76" s="65">
        <v>0.94140000000000001</v>
      </c>
      <c r="G76" s="65">
        <v>0.94199999999999995</v>
      </c>
      <c r="H76" s="65">
        <v>0.94199999999999995</v>
      </c>
      <c r="I76" s="65">
        <v>0.94210000000000005</v>
      </c>
      <c r="J76" s="65">
        <v>0.93230000000000002</v>
      </c>
      <c r="K76" s="65">
        <v>0.95399999999999996</v>
      </c>
      <c r="L76" s="65">
        <v>0.9284</v>
      </c>
      <c r="M76" s="65">
        <v>0.93430000000000002</v>
      </c>
      <c r="N76" s="65">
        <v>0.96430000000000005</v>
      </c>
      <c r="O76" s="65">
        <v>0.96550000000000002</v>
      </c>
      <c r="P76" s="65">
        <v>0.96079999999999999</v>
      </c>
    </row>
    <row r="77" spans="1:16" ht="15" customHeight="1">
      <c r="A77" s="65" t="s">
        <v>431</v>
      </c>
      <c r="B77" s="128">
        <v>14838.85</v>
      </c>
      <c r="C77" s="65">
        <v>0.96220000000000006</v>
      </c>
      <c r="D77" s="65">
        <v>0.95809999999999995</v>
      </c>
      <c r="E77" s="65">
        <v>0.95830000000000004</v>
      </c>
      <c r="F77" s="65">
        <v>0.95809999999999995</v>
      </c>
      <c r="G77" s="65">
        <v>0.95830000000000004</v>
      </c>
      <c r="H77" s="65">
        <v>0.95830000000000004</v>
      </c>
      <c r="I77" s="65">
        <v>0.95809999999999995</v>
      </c>
      <c r="J77" s="65">
        <v>0.94730000000000003</v>
      </c>
      <c r="K77" s="65">
        <v>0.96220000000000006</v>
      </c>
      <c r="L77" s="65">
        <v>0.95509999999999995</v>
      </c>
      <c r="M77" s="65">
        <v>0.96330000000000005</v>
      </c>
      <c r="N77" s="65">
        <v>0.9698</v>
      </c>
      <c r="O77" s="65">
        <v>0.96970000000000001</v>
      </c>
      <c r="P77" s="65">
        <v>0.97030000000000005</v>
      </c>
    </row>
    <row r="78" spans="1:16" ht="15" customHeight="1">
      <c r="A78" s="65" t="s">
        <v>432</v>
      </c>
      <c r="B78" s="128">
        <v>15403.674999999999</v>
      </c>
      <c r="C78" s="65">
        <v>0.98140000000000005</v>
      </c>
      <c r="D78" s="65">
        <v>0.98050000000000004</v>
      </c>
      <c r="E78" s="65">
        <v>0.98640000000000005</v>
      </c>
      <c r="F78" s="65">
        <v>0.97909999999999997</v>
      </c>
      <c r="G78" s="65">
        <v>0.97909999999999997</v>
      </c>
      <c r="H78" s="65">
        <v>0.97909999999999997</v>
      </c>
      <c r="I78" s="65">
        <v>0.97889999999999999</v>
      </c>
      <c r="J78" s="65">
        <v>0.97399999999999998</v>
      </c>
      <c r="K78" s="65">
        <v>0.98140000000000005</v>
      </c>
      <c r="L78" s="65">
        <v>0.98880000000000001</v>
      </c>
      <c r="M78" s="65">
        <v>0.9869</v>
      </c>
      <c r="N78" s="65">
        <v>0.98950000000000005</v>
      </c>
      <c r="O78" s="65">
        <v>0.98870000000000002</v>
      </c>
      <c r="P78" s="65">
        <v>0.99170000000000003</v>
      </c>
    </row>
    <row r="79" spans="1:16" ht="15" customHeight="1">
      <c r="A79" s="65" t="s">
        <v>433</v>
      </c>
      <c r="B79" s="128">
        <v>16056.45</v>
      </c>
      <c r="C79" s="65">
        <v>1</v>
      </c>
      <c r="D79" s="65">
        <v>1</v>
      </c>
      <c r="E79" s="65">
        <v>1</v>
      </c>
      <c r="F79" s="65">
        <v>1</v>
      </c>
      <c r="G79" s="65">
        <v>1</v>
      </c>
      <c r="H79" s="65">
        <v>1</v>
      </c>
      <c r="I79" s="65">
        <v>1</v>
      </c>
      <c r="J79" s="65">
        <v>1</v>
      </c>
      <c r="K79" s="65">
        <v>1</v>
      </c>
      <c r="L79" s="65">
        <v>1</v>
      </c>
      <c r="M79" s="65">
        <v>1</v>
      </c>
      <c r="N79" s="65">
        <v>1</v>
      </c>
      <c r="O79" s="65">
        <v>1</v>
      </c>
      <c r="P79" s="65">
        <v>1</v>
      </c>
    </row>
    <row r="80" spans="1:16" ht="15" customHeight="1">
      <c r="A80" s="65" t="s">
        <v>434</v>
      </c>
      <c r="B80" s="128">
        <v>16603.775000000001</v>
      </c>
      <c r="C80" s="65">
        <v>1.0184</v>
      </c>
      <c r="D80" s="65">
        <v>1.0142</v>
      </c>
      <c r="E80" s="65">
        <v>1.0069999999999999</v>
      </c>
      <c r="F80" s="65">
        <v>1.0159</v>
      </c>
      <c r="G80" s="65">
        <v>1.0147999999999999</v>
      </c>
      <c r="H80" s="65">
        <v>1.0147999999999999</v>
      </c>
      <c r="I80" s="65">
        <v>1.0147999999999999</v>
      </c>
      <c r="J80" s="65">
        <v>1.0264</v>
      </c>
      <c r="K80" s="65">
        <v>1.0184</v>
      </c>
      <c r="L80" s="65">
        <v>1.0082</v>
      </c>
      <c r="M80" s="65">
        <v>1.0125999999999999</v>
      </c>
      <c r="N80" s="65">
        <v>1.004</v>
      </c>
      <c r="O80" s="65">
        <v>1.0031000000000001</v>
      </c>
      <c r="P80" s="65">
        <v>1.0065</v>
      </c>
    </row>
    <row r="81" spans="1:16" ht="15" customHeight="1">
      <c r="A81" s="65" t="s">
        <v>435</v>
      </c>
      <c r="B81" s="128">
        <v>17332.900000000001</v>
      </c>
      <c r="C81" s="65">
        <v>1.0381</v>
      </c>
      <c r="D81" s="65">
        <v>1.0302</v>
      </c>
      <c r="E81" s="65">
        <v>1.0228999999999999</v>
      </c>
      <c r="F81" s="65">
        <v>1.0317000000000001</v>
      </c>
      <c r="G81" s="65">
        <v>1.0303</v>
      </c>
      <c r="H81" s="65">
        <v>1.0303</v>
      </c>
      <c r="I81" s="65">
        <v>1.0304</v>
      </c>
      <c r="J81" s="65">
        <v>1.0508999999999999</v>
      </c>
      <c r="K81" s="65">
        <v>1.0381</v>
      </c>
      <c r="L81" s="65">
        <v>1.0431999999999999</v>
      </c>
      <c r="M81" s="65">
        <v>1.0327</v>
      </c>
      <c r="N81" s="65">
        <v>1.0169999999999999</v>
      </c>
      <c r="O81" s="65">
        <v>1.0152000000000001</v>
      </c>
      <c r="P81" s="65">
        <v>1.0225</v>
      </c>
    </row>
    <row r="82" spans="1:16" ht="15" customHeight="1">
      <c r="A82" s="65" t="s">
        <v>436</v>
      </c>
      <c r="B82" s="128">
        <v>18090.325000000001</v>
      </c>
      <c r="C82" s="65">
        <v>1.0507</v>
      </c>
      <c r="D82" s="65">
        <v>1.0358000000000001</v>
      </c>
      <c r="E82" s="65">
        <v>1.0270999999999999</v>
      </c>
      <c r="F82" s="65">
        <v>1.0375000000000001</v>
      </c>
      <c r="G82" s="65">
        <v>1.0350999999999999</v>
      </c>
      <c r="H82" s="65">
        <v>1.0350999999999999</v>
      </c>
      <c r="I82" s="65">
        <v>1.0353000000000001</v>
      </c>
      <c r="J82" s="65">
        <v>1.0609999999999999</v>
      </c>
      <c r="K82" s="65">
        <v>1.0507</v>
      </c>
      <c r="L82" s="65">
        <v>1.0595000000000001</v>
      </c>
      <c r="M82" s="65">
        <v>1.0504</v>
      </c>
      <c r="N82" s="65">
        <v>1.0198</v>
      </c>
      <c r="O82" s="65">
        <v>1.0168999999999999</v>
      </c>
      <c r="P82" s="65">
        <v>1.0278</v>
      </c>
    </row>
    <row r="83" spans="1:16" ht="15" customHeight="1">
      <c r="A83" s="65" t="s">
        <v>437</v>
      </c>
      <c r="B83" s="128">
        <v>18550.95</v>
      </c>
      <c r="C83" s="65">
        <v>1.0604</v>
      </c>
      <c r="D83" s="65">
        <v>1.0429999999999999</v>
      </c>
      <c r="E83" s="65">
        <v>1.0305</v>
      </c>
      <c r="F83" s="65">
        <v>1.0452999999999999</v>
      </c>
      <c r="G83" s="65">
        <v>1.0428999999999999</v>
      </c>
      <c r="H83" s="65">
        <v>1.0428999999999999</v>
      </c>
      <c r="I83" s="65">
        <v>1.0429999999999999</v>
      </c>
      <c r="J83" s="65">
        <v>1.0651999999999999</v>
      </c>
      <c r="K83" s="65">
        <v>1.0604</v>
      </c>
      <c r="L83" s="65">
        <v>1.0720000000000001</v>
      </c>
      <c r="M83" s="65">
        <v>1.0592999999999999</v>
      </c>
      <c r="N83" s="65">
        <v>1.0165</v>
      </c>
      <c r="O83" s="65">
        <v>1.0130999999999999</v>
      </c>
      <c r="P83" s="65">
        <v>1.0266</v>
      </c>
    </row>
    <row r="84" spans="1:16" ht="15" customHeight="1">
      <c r="A84" s="65" t="s">
        <v>438</v>
      </c>
      <c r="B84" s="128">
        <v>19272.25</v>
      </c>
      <c r="C84" s="65">
        <v>1.0795999999999999</v>
      </c>
      <c r="D84" s="65">
        <v>1.0607</v>
      </c>
      <c r="E84" s="65">
        <v>1.0458000000000001</v>
      </c>
      <c r="F84" s="65">
        <v>1.0633999999999999</v>
      </c>
      <c r="G84" s="65">
        <v>1.0607</v>
      </c>
      <c r="H84" s="65">
        <v>1.0607</v>
      </c>
      <c r="I84" s="65">
        <v>1.0608</v>
      </c>
      <c r="J84" s="65">
        <v>1.0872999999999999</v>
      </c>
      <c r="K84" s="65">
        <v>1.0795999999999999</v>
      </c>
      <c r="L84" s="65">
        <v>1.1022000000000001</v>
      </c>
      <c r="M84" s="65">
        <v>1.0814999999999999</v>
      </c>
      <c r="N84" s="65">
        <v>1.0239</v>
      </c>
      <c r="O84" s="65">
        <v>1.0192000000000001</v>
      </c>
      <c r="P84" s="65">
        <v>1.0405</v>
      </c>
    </row>
    <row r="85" spans="1:16" ht="15" customHeight="1">
      <c r="A85" s="65" t="s">
        <v>439</v>
      </c>
      <c r="B85" s="128">
        <v>20235.900000000001</v>
      </c>
      <c r="C85" s="65">
        <v>1.103</v>
      </c>
      <c r="D85" s="65">
        <v>1.0871999999999999</v>
      </c>
      <c r="E85" s="65">
        <v>1.0680000000000001</v>
      </c>
      <c r="F85" s="65">
        <v>1.0908</v>
      </c>
      <c r="G85" s="65">
        <v>1.0874999999999999</v>
      </c>
      <c r="H85" s="65">
        <v>1.0873999999999999</v>
      </c>
      <c r="I85" s="65">
        <v>1.0876999999999999</v>
      </c>
      <c r="J85" s="65">
        <v>1.1256999999999999</v>
      </c>
      <c r="K85" s="65">
        <v>1.103</v>
      </c>
      <c r="L85" s="65">
        <v>1.1261000000000001</v>
      </c>
      <c r="M85" s="65">
        <v>1.1081000000000001</v>
      </c>
      <c r="N85" s="65">
        <v>1.0454000000000001</v>
      </c>
      <c r="O85" s="65">
        <v>1.0412999999999999</v>
      </c>
      <c r="P85" s="65">
        <v>1.0628</v>
      </c>
    </row>
    <row r="86" spans="1:16" ht="15" customHeight="1">
      <c r="A86" s="65" t="s">
        <v>53</v>
      </c>
      <c r="B86" s="128">
        <v>21288.9</v>
      </c>
      <c r="C86" s="65">
        <v>1.1254</v>
      </c>
      <c r="D86" s="65">
        <v>1.1111</v>
      </c>
      <c r="E86" s="65">
        <v>1.0898000000000001</v>
      </c>
      <c r="F86" s="65">
        <v>1.115</v>
      </c>
      <c r="G86" s="65">
        <v>1.1113</v>
      </c>
      <c r="H86" s="65">
        <v>1.1112</v>
      </c>
      <c r="I86" s="65">
        <v>1.1115999999999999</v>
      </c>
      <c r="J86" s="65">
        <v>1.1603000000000001</v>
      </c>
      <c r="K86" s="65">
        <v>1.1254</v>
      </c>
      <c r="L86" s="65">
        <v>1.1489</v>
      </c>
      <c r="M86" s="65">
        <v>1.129</v>
      </c>
      <c r="N86" s="65">
        <v>1.0671999999999999</v>
      </c>
      <c r="O86" s="65">
        <v>1.0624</v>
      </c>
      <c r="P86" s="65">
        <v>1.0843</v>
      </c>
    </row>
    <row r="87" spans="1:16" ht="15" customHeight="1">
      <c r="A87" s="65" t="s">
        <v>54</v>
      </c>
      <c r="B87" s="128">
        <v>22409.7</v>
      </c>
      <c r="C87" s="65">
        <v>1.1483000000000001</v>
      </c>
      <c r="D87" s="65">
        <v>1.1356999999999999</v>
      </c>
      <c r="E87" s="65">
        <v>1.1114999999999999</v>
      </c>
      <c r="F87" s="65">
        <v>1.1403000000000001</v>
      </c>
      <c r="G87" s="65">
        <v>1.1362000000000001</v>
      </c>
      <c r="H87" s="65">
        <v>1.1361000000000001</v>
      </c>
      <c r="I87" s="65">
        <v>1.1366000000000001</v>
      </c>
      <c r="J87" s="65">
        <v>1.1960999999999999</v>
      </c>
      <c r="K87" s="65">
        <v>1.1483000000000001</v>
      </c>
      <c r="L87" s="65">
        <v>1.1722999999999999</v>
      </c>
      <c r="M87" s="65">
        <v>1.1527000000000001</v>
      </c>
      <c r="N87" s="65">
        <v>1.0884</v>
      </c>
      <c r="O87" s="65">
        <v>1.0840000000000001</v>
      </c>
      <c r="P87" s="65">
        <v>1.1064000000000001</v>
      </c>
    </row>
    <row r="88" spans="1:16" ht="15" customHeight="1">
      <c r="A88" s="65" t="s">
        <v>55</v>
      </c>
      <c r="B88" s="128">
        <v>23557.8</v>
      </c>
      <c r="C88" s="65">
        <v>1.1712</v>
      </c>
      <c r="D88" s="65">
        <v>1.1608000000000001</v>
      </c>
      <c r="E88" s="65">
        <v>1.1337999999999999</v>
      </c>
      <c r="F88" s="65">
        <v>1.1657999999999999</v>
      </c>
      <c r="G88" s="65">
        <v>1.1617999999999999</v>
      </c>
      <c r="H88" s="65">
        <v>1.1617</v>
      </c>
      <c r="I88" s="65">
        <v>1.1621999999999999</v>
      </c>
      <c r="J88" s="65">
        <v>1.2315</v>
      </c>
      <c r="K88" s="65">
        <v>1.1712</v>
      </c>
      <c r="L88" s="65">
        <v>1.1958</v>
      </c>
      <c r="M88" s="65">
        <v>1.1757</v>
      </c>
      <c r="N88" s="65">
        <v>1.1091</v>
      </c>
      <c r="O88" s="65">
        <v>1.1056999999999999</v>
      </c>
      <c r="P88" s="65">
        <v>1.1285000000000001</v>
      </c>
    </row>
    <row r="89" spans="1:16" ht="15" customHeight="1">
      <c r="A89" s="65" t="s">
        <v>56</v>
      </c>
      <c r="B89" s="128">
        <v>24753.3</v>
      </c>
      <c r="C89" s="65">
        <v>1.1948000000000001</v>
      </c>
      <c r="D89" s="65">
        <v>1.1867000000000001</v>
      </c>
      <c r="E89" s="65">
        <v>1.1566000000000001</v>
      </c>
      <c r="F89" s="65">
        <v>1.1921999999999999</v>
      </c>
      <c r="G89" s="65">
        <v>1.1882999999999999</v>
      </c>
      <c r="H89" s="65">
        <v>1.1881999999999999</v>
      </c>
      <c r="I89" s="65">
        <v>1.1886000000000001</v>
      </c>
      <c r="J89" s="65">
        <v>1.2697000000000001</v>
      </c>
      <c r="K89" s="65">
        <v>1.1948000000000001</v>
      </c>
      <c r="L89" s="65">
        <v>1.2199</v>
      </c>
      <c r="M89" s="65">
        <v>1.1994</v>
      </c>
      <c r="N89" s="65">
        <v>1.1311</v>
      </c>
      <c r="O89" s="65">
        <v>1.1279999999999999</v>
      </c>
      <c r="P89" s="65">
        <v>1.1513</v>
      </c>
    </row>
    <row r="90" spans="1:16" ht="15" customHeight="1">
      <c r="A90" s="65" t="s">
        <v>57</v>
      </c>
      <c r="B90" s="128">
        <v>26006.799999999999</v>
      </c>
      <c r="C90" s="65">
        <v>1.2188000000000001</v>
      </c>
      <c r="D90" s="65">
        <v>1.2131000000000001</v>
      </c>
      <c r="E90" s="65">
        <v>1.1797</v>
      </c>
      <c r="F90" s="65">
        <v>1.2190000000000001</v>
      </c>
      <c r="G90" s="65">
        <v>1.2152000000000001</v>
      </c>
      <c r="H90" s="65">
        <v>1.2151000000000001</v>
      </c>
      <c r="I90" s="65">
        <v>1.2154</v>
      </c>
      <c r="J90" s="65">
        <v>1.3089</v>
      </c>
      <c r="K90" s="65">
        <v>1.2188000000000001</v>
      </c>
      <c r="L90" s="65">
        <v>1.2443</v>
      </c>
      <c r="M90" s="65">
        <v>1.2235</v>
      </c>
      <c r="N90" s="65">
        <v>1.1531</v>
      </c>
      <c r="O90" s="65">
        <v>1.1506000000000001</v>
      </c>
      <c r="P90" s="65">
        <v>1.1744000000000001</v>
      </c>
    </row>
    <row r="91" spans="1:16" ht="13.9" customHeight="1">
      <c r="A91" s="65" t="s">
        <v>440</v>
      </c>
      <c r="B91" s="128">
        <v>27325.7</v>
      </c>
      <c r="C91" s="65">
        <v>1.2433000000000001</v>
      </c>
      <c r="D91" s="65">
        <v>1.2399</v>
      </c>
      <c r="E91" s="65">
        <v>1.2035</v>
      </c>
      <c r="F91" s="65">
        <v>1.2462</v>
      </c>
      <c r="G91" s="65">
        <v>1.2426999999999999</v>
      </c>
      <c r="H91" s="65">
        <v>1.2426999999999999</v>
      </c>
      <c r="I91" s="65">
        <v>1.2430000000000001</v>
      </c>
      <c r="J91" s="65">
        <v>1.3505</v>
      </c>
      <c r="K91" s="65">
        <v>1.2433000000000001</v>
      </c>
      <c r="L91" s="65">
        <v>1.2693000000000001</v>
      </c>
      <c r="M91" s="65">
        <v>1.248</v>
      </c>
      <c r="N91" s="65">
        <v>1.1758</v>
      </c>
      <c r="O91" s="65">
        <v>1.1737</v>
      </c>
      <c r="P91" s="65">
        <v>1.198</v>
      </c>
    </row>
    <row r="92" spans="1:16">
      <c r="A92" s="19" t="s">
        <v>58</v>
      </c>
    </row>
  </sheetData>
  <mergeCells count="9">
    <mergeCell ref="L4:L5"/>
    <mergeCell ref="A1:K1"/>
    <mergeCell ref="A2:K2"/>
    <mergeCell ref="A3:A5"/>
    <mergeCell ref="B3:B5"/>
    <mergeCell ref="C3:C5"/>
    <mergeCell ref="D4:D5"/>
    <mergeCell ref="J4:J5"/>
    <mergeCell ref="K4:K5"/>
  </mergeCells>
  <printOptions gridLines="1"/>
  <pageMargins left="0.7" right="0.7" top="0.75" bottom="0.75" header="0.3" footer="0.3"/>
  <pageSetup orientation="landscape" useFirstPageNumber="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5" tint="0.79998168889431442"/>
  </sheetPr>
  <dimension ref="A1:W57"/>
  <sheetViews>
    <sheetView workbookViewId="0">
      <selection sqref="A1:K1"/>
    </sheetView>
  </sheetViews>
  <sheetFormatPr defaultColWidth="8.85546875" defaultRowHeight="15"/>
  <cols>
    <col min="1" max="1" width="11.5703125" style="64" customWidth="1"/>
    <col min="2" max="2" width="32" style="64" customWidth="1"/>
    <col min="3" max="3" width="11.7109375" style="64" customWidth="1"/>
    <col min="4" max="4" width="14" style="64" customWidth="1"/>
    <col min="5" max="5" width="14.85546875" style="64" customWidth="1"/>
    <col min="6" max="6" width="17.7109375" style="64" customWidth="1"/>
    <col min="7" max="7" width="11.7109375" style="64" customWidth="1"/>
    <col min="8" max="8" width="14" style="64" customWidth="1"/>
    <col min="9" max="9" width="14.85546875" style="64" customWidth="1"/>
    <col min="10" max="10" width="17.7109375" style="64" customWidth="1"/>
    <col min="11" max="11" width="11.7109375" style="64" customWidth="1"/>
    <col min="12" max="12" width="14" style="64" customWidth="1"/>
    <col min="13" max="13" width="14.85546875" style="64" customWidth="1"/>
    <col min="14" max="14" width="17.7109375" style="64" customWidth="1"/>
    <col min="15" max="15" width="11.7109375" style="64" customWidth="1"/>
    <col min="16" max="16" width="14" style="64" customWidth="1"/>
    <col min="17" max="17" width="14.85546875" style="64" customWidth="1"/>
    <col min="18" max="18" width="17.7109375" style="64" customWidth="1"/>
    <col min="19" max="19" width="11.7109375" style="64" customWidth="1"/>
    <col min="20" max="20" width="14" style="64" customWidth="1"/>
    <col min="21" max="21" width="14.85546875" style="64" customWidth="1"/>
    <col min="22" max="22" width="17.7109375" style="64" customWidth="1"/>
    <col min="23" max="23" width="11.7109375" style="64" customWidth="1"/>
    <col min="24" max="24" width="14" style="64" customWidth="1"/>
    <col min="25" max="25" width="14.85546875" style="64" customWidth="1"/>
    <col min="26" max="26" width="17.7109375" style="64" customWidth="1"/>
    <col min="27" max="27" width="11.7109375" style="64" customWidth="1"/>
    <col min="28" max="28" width="14" style="64" customWidth="1"/>
    <col min="29" max="29" width="14.85546875" style="64" customWidth="1"/>
    <col min="30" max="30" width="17.7109375" style="64" customWidth="1"/>
    <col min="31" max="31" width="11.7109375" style="64" customWidth="1"/>
    <col min="32" max="32" width="14" style="64" customWidth="1"/>
    <col min="33" max="33" width="14.85546875" style="64" customWidth="1"/>
    <col min="34" max="34" width="17.7109375" style="64" customWidth="1"/>
    <col min="35" max="35" width="11.7109375" style="64" customWidth="1"/>
    <col min="36" max="36" width="14" style="64" customWidth="1"/>
    <col min="37" max="37" width="14.85546875" style="64" customWidth="1"/>
    <col min="38" max="38" width="17.7109375" style="64" customWidth="1"/>
    <col min="39" max="39" width="11.7109375" style="64" customWidth="1"/>
    <col min="40" max="40" width="14" style="64" customWidth="1"/>
    <col min="41" max="41" width="14.85546875" style="64" customWidth="1"/>
    <col min="42" max="42" width="17.7109375" style="64" customWidth="1"/>
    <col min="43" max="43" width="11.7109375" style="64" customWidth="1"/>
    <col min="44" max="44" width="14" style="64" customWidth="1"/>
    <col min="45" max="45" width="14.85546875" style="64" customWidth="1"/>
    <col min="46" max="46" width="17.7109375" style="64" customWidth="1"/>
    <col min="47" max="47" width="11.7109375" style="64" customWidth="1"/>
    <col min="48" max="48" width="14" style="64" customWidth="1"/>
    <col min="49" max="49" width="14.85546875" style="64" customWidth="1"/>
    <col min="50" max="50" width="17.7109375" style="64" customWidth="1"/>
    <col min="51" max="51" width="11.7109375" style="64" customWidth="1"/>
    <col min="52" max="52" width="14" style="64" customWidth="1"/>
    <col min="53" max="53" width="14.85546875" style="64" customWidth="1"/>
    <col min="54" max="54" width="17.7109375" style="64" customWidth="1"/>
    <col min="55" max="16384" width="8.85546875" style="64"/>
  </cols>
  <sheetData>
    <row r="1" spans="1:23">
      <c r="A1" s="205"/>
    </row>
    <row r="2" spans="1:23">
      <c r="B2" s="206" t="s">
        <v>226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174"/>
    </row>
    <row r="3" spans="1:23">
      <c r="B3" s="69" t="s">
        <v>353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174"/>
    </row>
    <row r="4" spans="1:23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174"/>
    </row>
    <row r="5" spans="1:23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174"/>
    </row>
    <row r="6" spans="1:23">
      <c r="B6" s="174" t="s">
        <v>146</v>
      </c>
      <c r="C6" s="207">
        <f>Auto_TT_Savings!C7</f>
        <v>300</v>
      </c>
      <c r="D6" s="71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W6" s="72"/>
    </row>
    <row r="7" spans="1:23">
      <c r="B7" s="81" t="s">
        <v>483</v>
      </c>
      <c r="C7" s="208">
        <f>Inputs!B32</f>
        <v>0.41</v>
      </c>
      <c r="D7" s="74" t="s">
        <v>284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W7" s="72"/>
    </row>
    <row r="8" spans="1:23">
      <c r="B8" s="174" t="s">
        <v>4</v>
      </c>
      <c r="C8" s="174">
        <f>Inputs!B10</f>
        <v>2020</v>
      </c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W8" s="72"/>
    </row>
    <row r="9" spans="1:23">
      <c r="S9" s="73"/>
      <c r="T9" s="31"/>
    </row>
    <row r="11" spans="1:23" ht="15.75" thickBot="1">
      <c r="A11" s="332"/>
      <c r="C11" s="675" t="s">
        <v>486</v>
      </c>
      <c r="D11" s="675"/>
      <c r="E11" s="2">
        <f>Inputs!$B$3</f>
        <v>7.0000000000000007E-2</v>
      </c>
      <c r="F11" s="2">
        <f>Inputs!$B$4</f>
        <v>0.03</v>
      </c>
    </row>
    <row r="12" spans="1:23" ht="75">
      <c r="A12" s="75" t="s">
        <v>147</v>
      </c>
      <c r="B12" s="75" t="s">
        <v>0</v>
      </c>
      <c r="C12" s="271" t="s">
        <v>148</v>
      </c>
      <c r="D12" s="272" t="s">
        <v>149</v>
      </c>
      <c r="E12" s="272" t="s">
        <v>150</v>
      </c>
      <c r="F12" s="132" t="s">
        <v>151</v>
      </c>
    </row>
    <row r="13" spans="1:23">
      <c r="A13" s="332">
        <f>IF((B13&gt;(Inputs!$B$7+Inputs!$B$8)),0,IF((B13&lt;Inputs!$B$7),0,((B13-Inputs!$B$7))))</f>
        <v>0</v>
      </c>
      <c r="B13" s="255">
        <v>2018</v>
      </c>
      <c r="C13" s="273"/>
      <c r="D13" s="125"/>
      <c r="E13" s="125"/>
      <c r="F13" s="274"/>
    </row>
    <row r="14" spans="1:23">
      <c r="A14" s="332">
        <f>IF((B14&gt;(Inputs!$B$7+Inputs!$B$8)),0,IF((B14&lt;Inputs!$B$7),0,((B14-Inputs!$B$7))))</f>
        <v>0</v>
      </c>
      <c r="B14" s="255">
        <f>B13+1</f>
        <v>2019</v>
      </c>
      <c r="C14" s="275">
        <f>((Traffic_related_data!Z54)*'Auto-OperatingCostSavings'!$C$6)</f>
        <v>-36232.12317152883</v>
      </c>
      <c r="D14" s="262">
        <f t="shared" ref="D14:D55" si="0">IF(($A14&gt;0),(C14*$C$7),0)</f>
        <v>0</v>
      </c>
      <c r="E14" s="258">
        <f t="shared" ref="E14:F33" si="1">ROUND($D14/((1+E$11)^($B14-$C$8)),0)</f>
        <v>0</v>
      </c>
      <c r="F14" s="259">
        <f t="shared" si="1"/>
        <v>0</v>
      </c>
    </row>
    <row r="15" spans="1:23">
      <c r="A15" s="332">
        <f>IF((B15&gt;(Inputs!$B$7+Inputs!$B$8)),0,IF((B15&lt;Inputs!$B$7),0,((B15-Inputs!$B$7))))</f>
        <v>0</v>
      </c>
      <c r="B15" s="255">
        <f t="shared" ref="B15:B55" si="2">B14+1</f>
        <v>2020</v>
      </c>
      <c r="C15" s="275">
        <f>((Traffic_related_data!Z55)*'Auto-OperatingCostSavings'!$C$6)</f>
        <v>4568.076746804627</v>
      </c>
      <c r="D15" s="262">
        <f t="shared" si="0"/>
        <v>0</v>
      </c>
      <c r="E15" s="258">
        <f t="shared" si="1"/>
        <v>0</v>
      </c>
      <c r="F15" s="259">
        <f t="shared" si="1"/>
        <v>0</v>
      </c>
    </row>
    <row r="16" spans="1:23">
      <c r="A16" s="332">
        <f>IF((B16&gt;(Inputs!$B$7+Inputs!$B$8)),0,IF((B16&lt;Inputs!$B$7),0,((B16-Inputs!$B$7))))</f>
        <v>0</v>
      </c>
      <c r="B16" s="255">
        <f t="shared" si="2"/>
        <v>2021</v>
      </c>
      <c r="C16" s="275">
        <f>((Traffic_related_data!Z56)*'Auto-OperatingCostSavings'!$C$6)</f>
        <v>-2464.0301805414497</v>
      </c>
      <c r="D16" s="262">
        <f t="shared" si="0"/>
        <v>0</v>
      </c>
      <c r="E16" s="258">
        <f t="shared" si="1"/>
        <v>0</v>
      </c>
      <c r="F16" s="259">
        <f t="shared" si="1"/>
        <v>0</v>
      </c>
    </row>
    <row r="17" spans="1:6">
      <c r="A17" s="332">
        <f>IF((B17&gt;(Inputs!$B$7+Inputs!$B$8)),0,IF((B17&lt;Inputs!$B$7),0,((B17-Inputs!$B$7))))</f>
        <v>0</v>
      </c>
      <c r="B17" s="255">
        <f t="shared" si="2"/>
        <v>2022</v>
      </c>
      <c r="C17" s="275">
        <f>((Traffic_related_data!Z57)*'Auto-OperatingCostSavings'!$C$6)</f>
        <v>-9495.5505657091235</v>
      </c>
      <c r="D17" s="262">
        <f t="shared" si="0"/>
        <v>0</v>
      </c>
      <c r="E17" s="258">
        <f t="shared" si="1"/>
        <v>0</v>
      </c>
      <c r="F17" s="259">
        <f t="shared" si="1"/>
        <v>0</v>
      </c>
    </row>
    <row r="18" spans="1:6">
      <c r="A18" s="332">
        <f>IF((B18&gt;(Inputs!$B$7+Inputs!$B$8)),0,IF((B18&lt;Inputs!$B$7),0,((B18-Inputs!$B$7))))</f>
        <v>0</v>
      </c>
      <c r="B18" s="255">
        <f t="shared" si="2"/>
        <v>2023</v>
      </c>
      <c r="C18" s="275">
        <f>((Traffic_related_data!Z58)*'Auto-OperatingCostSavings'!$C$6)</f>
        <v>-16526.503895096434</v>
      </c>
      <c r="D18" s="262">
        <f t="shared" si="0"/>
        <v>0</v>
      </c>
      <c r="E18" s="258">
        <f t="shared" si="1"/>
        <v>0</v>
      </c>
      <c r="F18" s="259">
        <f t="shared" si="1"/>
        <v>0</v>
      </c>
    </row>
    <row r="19" spans="1:6">
      <c r="A19" s="332">
        <f>IF((B19&gt;(Inputs!$B$7+Inputs!$B$8)),0,IF((B19&lt;Inputs!$B$7),0,((B19-Inputs!$B$7))))</f>
        <v>0</v>
      </c>
      <c r="B19" s="255">
        <f t="shared" si="2"/>
        <v>2024</v>
      </c>
      <c r="C19" s="275">
        <f>((Traffic_related_data!Z59)*'Auto-OperatingCostSavings'!$C$6)</f>
        <v>-23556.908801377725</v>
      </c>
      <c r="D19" s="262">
        <f t="shared" si="0"/>
        <v>0</v>
      </c>
      <c r="E19" s="258">
        <f t="shared" si="1"/>
        <v>0</v>
      </c>
      <c r="F19" s="259">
        <f t="shared" si="1"/>
        <v>0</v>
      </c>
    </row>
    <row r="20" spans="1:6">
      <c r="A20" s="332">
        <f>IF((B20&gt;(Inputs!$B$7+Inputs!$B$8)),0,IF((B20&lt;Inputs!$B$7),0,((B20-Inputs!$B$7))))</f>
        <v>0</v>
      </c>
      <c r="B20" s="255">
        <f t="shared" si="2"/>
        <v>2025</v>
      </c>
      <c r="C20" s="275">
        <f>((Traffic_related_data!Z60)*'Auto-OperatingCostSavings'!$C$6)</f>
        <v>-30586.783109731707</v>
      </c>
      <c r="D20" s="262">
        <f t="shared" si="0"/>
        <v>0</v>
      </c>
      <c r="E20" s="258">
        <f t="shared" si="1"/>
        <v>0</v>
      </c>
      <c r="F20" s="259">
        <f t="shared" si="1"/>
        <v>0</v>
      </c>
    </row>
    <row r="21" spans="1:6">
      <c r="A21" s="332">
        <f>IF((B21&gt;(Inputs!$B$7+Inputs!$B$8)),0,IF((B21&lt;Inputs!$B$7),0,((B21-Inputs!$B$7))))</f>
        <v>1</v>
      </c>
      <c r="B21" s="255">
        <f t="shared" si="2"/>
        <v>2026</v>
      </c>
      <c r="C21" s="275">
        <f>((Traffic_related_data!Z61)*'Auto-OperatingCostSavings'!$C$6)</f>
        <v>-24626.172510037824</v>
      </c>
      <c r="D21" s="262">
        <f t="shared" si="0"/>
        <v>-10096.730729115507</v>
      </c>
      <c r="E21" s="258">
        <f t="shared" si="1"/>
        <v>-6728</v>
      </c>
      <c r="F21" s="259">
        <f t="shared" si="1"/>
        <v>-8456</v>
      </c>
    </row>
    <row r="22" spans="1:6">
      <c r="A22" s="332">
        <f>IF((B22&gt;(Inputs!$B$7+Inputs!$B$8)),0,IF((B22&lt;Inputs!$B$7),0,((B22-Inputs!$B$7))))</f>
        <v>2</v>
      </c>
      <c r="B22" s="255">
        <f t="shared" si="2"/>
        <v>2027</v>
      </c>
      <c r="C22" s="275">
        <f>((Traffic_related_data!Z62)*'Auto-OperatingCostSavings'!$C$6)</f>
        <v>-18665.429477909387</v>
      </c>
      <c r="D22" s="262">
        <f t="shared" si="0"/>
        <v>-7652.8260859428483</v>
      </c>
      <c r="E22" s="258">
        <f t="shared" si="1"/>
        <v>-4766</v>
      </c>
      <c r="F22" s="259">
        <f t="shared" si="1"/>
        <v>-6222</v>
      </c>
    </row>
    <row r="23" spans="1:6">
      <c r="A23" s="332">
        <f>IF((B23&gt;(Inputs!$B$7+Inputs!$B$8)),0,IF((B23&lt;Inputs!$B$7),0,((B23-Inputs!$B$7))))</f>
        <v>3</v>
      </c>
      <c r="B23" s="255">
        <f t="shared" si="2"/>
        <v>2028</v>
      </c>
      <c r="C23" s="275">
        <f>((Traffic_related_data!Z63)*'Auto-OperatingCostSavings'!$C$6)</f>
        <v>-12704.558418723669</v>
      </c>
      <c r="D23" s="262">
        <f t="shared" si="0"/>
        <v>-5208.8689516767045</v>
      </c>
      <c r="E23" s="258">
        <f t="shared" si="1"/>
        <v>-3032</v>
      </c>
      <c r="F23" s="259">
        <f t="shared" si="1"/>
        <v>-4112</v>
      </c>
    </row>
    <row r="24" spans="1:6">
      <c r="A24" s="332">
        <f>IF((B24&gt;(Inputs!$B$7+Inputs!$B$8)),0,IF((B24&lt;Inputs!$B$7),0,((B24-Inputs!$B$7))))</f>
        <v>4</v>
      </c>
      <c r="B24" s="255">
        <f t="shared" si="2"/>
        <v>2029</v>
      </c>
      <c r="C24" s="275">
        <f>((Traffic_related_data!Z64)*'Auto-OperatingCostSavings'!$C$6)</f>
        <v>-6743.5635446503384</v>
      </c>
      <c r="D24" s="262">
        <f t="shared" si="0"/>
        <v>-2764.8610533066385</v>
      </c>
      <c r="E24" s="258">
        <f t="shared" si="1"/>
        <v>-1504</v>
      </c>
      <c r="F24" s="259">
        <f t="shared" si="1"/>
        <v>-2119</v>
      </c>
    </row>
    <row r="25" spans="1:6">
      <c r="A25" s="332">
        <f>IF((B25&gt;(Inputs!$B$7+Inputs!$B$8)),0,IF((B25&lt;Inputs!$B$7),0,((B25-Inputs!$B$7))))</f>
        <v>5</v>
      </c>
      <c r="B25" s="255">
        <f t="shared" si="2"/>
        <v>2030</v>
      </c>
      <c r="C25" s="275">
        <f>((Traffic_related_data!Z65)*'Auto-OperatingCostSavings'!$C$6)</f>
        <v>-782.44888505153654</v>
      </c>
      <c r="D25" s="262">
        <f t="shared" si="0"/>
        <v>-320.80404287112998</v>
      </c>
      <c r="E25" s="258">
        <f t="shared" si="1"/>
        <v>-163</v>
      </c>
      <c r="F25" s="259">
        <f t="shared" si="1"/>
        <v>-239</v>
      </c>
    </row>
    <row r="26" spans="1:6">
      <c r="A26" s="332">
        <f>IF((B26&gt;(Inputs!$B$7+Inputs!$B$8)),0,IF((B26&lt;Inputs!$B$7),0,((B26-Inputs!$B$7))))</f>
        <v>6</v>
      </c>
      <c r="B26" s="255">
        <f t="shared" si="2"/>
        <v>2031</v>
      </c>
      <c r="C26" s="275">
        <f>((Traffic_related_data!Z66)*'Auto-OperatingCostSavings'!$C$6)</f>
        <v>-904.25765859331875</v>
      </c>
      <c r="D26" s="262">
        <f t="shared" si="0"/>
        <v>-370.74564002326065</v>
      </c>
      <c r="E26" s="258">
        <f t="shared" si="1"/>
        <v>-176</v>
      </c>
      <c r="F26" s="259">
        <f t="shared" si="1"/>
        <v>-268</v>
      </c>
    </row>
    <row r="27" spans="1:6">
      <c r="A27" s="332">
        <f>IF((B27&gt;(Inputs!$B$7+Inputs!$B$8)),0,IF((B27&lt;Inputs!$B$7),0,((B27-Inputs!$B$7))))</f>
        <v>7</v>
      </c>
      <c r="B27" s="255">
        <f t="shared" si="2"/>
        <v>2032</v>
      </c>
      <c r="C27" s="275">
        <f>((Traffic_related_data!Z67)*'Auto-OperatingCostSavings'!$C$6)</f>
        <v>-1052.1597302091157</v>
      </c>
      <c r="D27" s="262">
        <f t="shared" si="0"/>
        <v>-431.3854893857374</v>
      </c>
      <c r="E27" s="258">
        <f t="shared" si="1"/>
        <v>-192</v>
      </c>
      <c r="F27" s="259">
        <f t="shared" si="1"/>
        <v>-303</v>
      </c>
    </row>
    <row r="28" spans="1:6">
      <c r="A28" s="332">
        <f>IF((B28&gt;(Inputs!$B$7+Inputs!$B$8)),0,IF((B28&lt;Inputs!$B$7),0,((B28-Inputs!$B$7))))</f>
        <v>8</v>
      </c>
      <c r="B28" s="255">
        <f t="shared" si="2"/>
        <v>2033</v>
      </c>
      <c r="C28" s="275">
        <f>((Traffic_related_data!Z68)*'Auto-OperatingCostSavings'!$C$6)</f>
        <v>-1225.0283452751769</v>
      </c>
      <c r="D28" s="262">
        <f t="shared" si="0"/>
        <v>-502.26162156282248</v>
      </c>
      <c r="E28" s="258">
        <f t="shared" si="1"/>
        <v>-208</v>
      </c>
      <c r="F28" s="259">
        <f t="shared" si="1"/>
        <v>-342</v>
      </c>
    </row>
    <row r="29" spans="1:6">
      <c r="A29" s="332">
        <f>IF((B29&gt;(Inputs!$B$7+Inputs!$B$8)),0,IF((B29&lt;Inputs!$B$7),0,((B29-Inputs!$B$7))))</f>
        <v>9</v>
      </c>
      <c r="B29" s="255">
        <f t="shared" si="2"/>
        <v>2034</v>
      </c>
      <c r="C29" s="275">
        <f>((Traffic_related_data!Z69)*'Auto-OperatingCostSavings'!$C$6)</f>
        <v>-1421.8007040434034</v>
      </c>
      <c r="D29" s="262">
        <f t="shared" si="0"/>
        <v>-582.9382886577954</v>
      </c>
      <c r="E29" s="258">
        <f t="shared" si="1"/>
        <v>-226</v>
      </c>
      <c r="F29" s="259">
        <f t="shared" si="1"/>
        <v>-385</v>
      </c>
    </row>
    <row r="30" spans="1:6">
      <c r="A30" s="332">
        <f>IF((B30&gt;(Inputs!$B$7+Inputs!$B$8)),0,IF((B30&lt;Inputs!$B$7),0,((B30-Inputs!$B$7))))</f>
        <v>10</v>
      </c>
      <c r="B30" s="255">
        <f t="shared" si="2"/>
        <v>2035</v>
      </c>
      <c r="C30" s="275">
        <f>((Traffic_related_data!Z70)*'Auto-OperatingCostSavings'!$C$6)</f>
        <v>-1641.4734874151154</v>
      </c>
      <c r="D30" s="262">
        <f t="shared" si="0"/>
        <v>-673.00412984019727</v>
      </c>
      <c r="E30" s="258">
        <f t="shared" si="1"/>
        <v>-244</v>
      </c>
      <c r="F30" s="259">
        <f t="shared" si="1"/>
        <v>-432</v>
      </c>
    </row>
    <row r="31" spans="1:6">
      <c r="A31" s="332">
        <f>IF((B31&gt;(Inputs!$B$7+Inputs!$B$8)),0,IF((B31&lt;Inputs!$B$7),0,((B31-Inputs!$B$7))))</f>
        <v>11</v>
      </c>
      <c r="B31" s="255">
        <f t="shared" si="2"/>
        <v>2036</v>
      </c>
      <c r="C31" s="275">
        <f>((Traffic_related_data!Z71)*'Auto-OperatingCostSavings'!$C$6)</f>
        <v>-1815.3499791312968</v>
      </c>
      <c r="D31" s="262">
        <f t="shared" si="0"/>
        <v>-744.29349144383161</v>
      </c>
      <c r="E31" s="258">
        <f t="shared" si="1"/>
        <v>-252</v>
      </c>
      <c r="F31" s="259">
        <f t="shared" si="1"/>
        <v>-464</v>
      </c>
    </row>
    <row r="32" spans="1:6">
      <c r="A32" s="332">
        <f>IF((B32&gt;(Inputs!$B$7+Inputs!$B$8)),0,IF((B32&lt;Inputs!$B$7),0,((B32-Inputs!$B$7))))</f>
        <v>12</v>
      </c>
      <c r="B32" s="255">
        <f t="shared" si="2"/>
        <v>2037</v>
      </c>
      <c r="C32" s="275">
        <f>((Traffic_related_data!Z72)*'Auto-OperatingCostSavings'!$C$6)</f>
        <v>-1989.1647977719749</v>
      </c>
      <c r="D32" s="262">
        <f t="shared" si="0"/>
        <v>-815.55756708650972</v>
      </c>
      <c r="E32" s="258">
        <f t="shared" si="1"/>
        <v>-258</v>
      </c>
      <c r="F32" s="259">
        <f t="shared" si="1"/>
        <v>-493</v>
      </c>
    </row>
    <row r="33" spans="1:6">
      <c r="A33" s="332">
        <f>IF((B33&gt;(Inputs!$B$7+Inputs!$B$8)),0,IF((B33&lt;Inputs!$B$7),0,((B33-Inputs!$B$7))))</f>
        <v>13</v>
      </c>
      <c r="B33" s="255">
        <f t="shared" si="2"/>
        <v>2038</v>
      </c>
      <c r="C33" s="275">
        <f>((Traffic_related_data!Z73)*'Auto-OperatingCostSavings'!$C$6)</f>
        <v>-2162.9200002125476</v>
      </c>
      <c r="D33" s="262">
        <f t="shared" si="0"/>
        <v>-886.79720008714446</v>
      </c>
      <c r="E33" s="258">
        <f t="shared" si="1"/>
        <v>-262</v>
      </c>
      <c r="F33" s="259">
        <f t="shared" si="1"/>
        <v>-521</v>
      </c>
    </row>
    <row r="34" spans="1:6">
      <c r="A34" s="332">
        <f>IF((B34&gt;(Inputs!$B$7+Inputs!$B$8)),0,IF((B34&lt;Inputs!$B$7),0,((B34-Inputs!$B$7))))</f>
        <v>14</v>
      </c>
      <c r="B34" s="255">
        <f t="shared" si="2"/>
        <v>2039</v>
      </c>
      <c r="C34" s="275">
        <f>((Traffic_related_data!Z74)*'Auto-OperatingCostSavings'!$C$6)</f>
        <v>-2336.6175528616623</v>
      </c>
      <c r="D34" s="262">
        <f t="shared" si="0"/>
        <v>-958.01319667328141</v>
      </c>
      <c r="E34" s="258">
        <f t="shared" ref="E34:F55" si="3">ROUND($D34/((1+E$11)^($B34-$C$8)),0)</f>
        <v>-265</v>
      </c>
      <c r="F34" s="259">
        <f t="shared" si="3"/>
        <v>-546</v>
      </c>
    </row>
    <row r="35" spans="1:6">
      <c r="A35" s="332">
        <f>IF((B35&gt;(Inputs!$B$7+Inputs!$B$8)),0,IF((B35&lt;Inputs!$B$7),0,((B35-Inputs!$B$7))))</f>
        <v>15</v>
      </c>
      <c r="B35" s="255">
        <f t="shared" si="2"/>
        <v>2040</v>
      </c>
      <c r="C35" s="275">
        <f>((Traffic_related_data!Z75)*'Auto-OperatingCostSavings'!$C$6)</f>
        <v>-2510.2593365889174</v>
      </c>
      <c r="D35" s="262">
        <f t="shared" si="0"/>
        <v>-1029.2063280014561</v>
      </c>
      <c r="E35" s="258">
        <f t="shared" si="3"/>
        <v>-266</v>
      </c>
      <c r="F35" s="259">
        <f t="shared" si="3"/>
        <v>-570</v>
      </c>
    </row>
    <row r="36" spans="1:6">
      <c r="A36" s="332">
        <f>IF((B36&gt;(Inputs!$B$7+Inputs!$B$8)),0,IF((B36&lt;Inputs!$B$7),0,((B36-Inputs!$B$7))))</f>
        <v>16</v>
      </c>
      <c r="B36" s="255">
        <f t="shared" si="2"/>
        <v>2041</v>
      </c>
      <c r="C36" s="275">
        <f>((Traffic_related_data!Z76)*'Auto-OperatingCostSavings'!$C$6)</f>
        <v>-3975.4830311945984</v>
      </c>
      <c r="D36" s="262">
        <f t="shared" si="0"/>
        <v>-1629.9480427897852</v>
      </c>
      <c r="E36" s="258">
        <f t="shared" si="3"/>
        <v>-394</v>
      </c>
      <c r="F36" s="259">
        <f t="shared" si="3"/>
        <v>-876</v>
      </c>
    </row>
    <row r="37" spans="1:6">
      <c r="A37" s="332">
        <f>IF((B37&gt;(Inputs!$B$7+Inputs!$B$8)),0,IF((B37&lt;Inputs!$B$7),0,((B37-Inputs!$B$7))))</f>
        <v>17</v>
      </c>
      <c r="B37" s="255">
        <f t="shared" si="2"/>
        <v>2042</v>
      </c>
      <c r="C37" s="275">
        <f>((Traffic_related_data!Z77)*'Auto-OperatingCostSavings'!$C$6)</f>
        <v>-5440.4956864624437</v>
      </c>
      <c r="D37" s="262">
        <f t="shared" si="0"/>
        <v>-2230.6032314496019</v>
      </c>
      <c r="E37" s="258">
        <f t="shared" si="3"/>
        <v>-503</v>
      </c>
      <c r="F37" s="259">
        <f t="shared" si="3"/>
        <v>-1164</v>
      </c>
    </row>
    <row r="38" spans="1:6">
      <c r="A38" s="332">
        <f>IF((B38&gt;(Inputs!$B$7+Inputs!$B$8)),0,IF((B38&lt;Inputs!$B$7),0,((B38-Inputs!$B$7))))</f>
        <v>18</v>
      </c>
      <c r="B38" s="255">
        <f t="shared" si="2"/>
        <v>2043</v>
      </c>
      <c r="C38" s="275">
        <f>((Traffic_related_data!Z78)*'Auto-OperatingCostSavings'!$C$6)</f>
        <v>-6905.3044943043888</v>
      </c>
      <c r="D38" s="262">
        <f t="shared" si="0"/>
        <v>-2831.1748426647991</v>
      </c>
      <c r="E38" s="258">
        <f t="shared" si="3"/>
        <v>-597</v>
      </c>
      <c r="F38" s="259">
        <f t="shared" si="3"/>
        <v>-1435</v>
      </c>
    </row>
    <row r="39" spans="1:6">
      <c r="A39" s="332">
        <f>IF((B39&gt;(Inputs!$B$7+Inputs!$B$8)),0,IF((B39&lt;Inputs!$B$7),0,((B39-Inputs!$B$7))))</f>
        <v>19</v>
      </c>
      <c r="B39" s="255">
        <f t="shared" si="2"/>
        <v>2044</v>
      </c>
      <c r="C39" s="275">
        <f>((Traffic_related_data!Z79)*'Auto-OperatingCostSavings'!$C$6)</f>
        <v>-8369.916323542282</v>
      </c>
      <c r="D39" s="262">
        <f t="shared" si="0"/>
        <v>-3431.6656926523356</v>
      </c>
      <c r="E39" s="258">
        <f t="shared" si="3"/>
        <v>-677</v>
      </c>
      <c r="F39" s="259">
        <f t="shared" si="3"/>
        <v>-1688</v>
      </c>
    </row>
    <row r="40" spans="1:6">
      <c r="A40" s="332">
        <f>IF((B40&gt;(Inputs!$B$7+Inputs!$B$8)),0,IF((B40&lt;Inputs!$B$7),0,((B40-Inputs!$B$7))))</f>
        <v>20</v>
      </c>
      <c r="B40" s="255">
        <f t="shared" si="2"/>
        <v>2045</v>
      </c>
      <c r="C40" s="275">
        <f>((Traffic_related_data!Z80)*'Auto-OperatingCostSavings'!$C$6)</f>
        <v>-9834.3377377608322</v>
      </c>
      <c r="D40" s="262">
        <f t="shared" si="0"/>
        <v>-4032.0784724819409</v>
      </c>
      <c r="E40" s="258">
        <f t="shared" si="3"/>
        <v>-743</v>
      </c>
      <c r="F40" s="259">
        <f t="shared" si="3"/>
        <v>-1926</v>
      </c>
    </row>
    <row r="41" spans="1:6">
      <c r="A41" s="332">
        <f>IF((B41&gt;(Inputs!$B$7+Inputs!$B$8)),0,IF((B41&lt;Inputs!$B$7),0,((B41-Inputs!$B$7))))</f>
        <v>21</v>
      </c>
      <c r="B41" s="255">
        <f t="shared" si="2"/>
        <v>2046</v>
      </c>
      <c r="C41" s="275">
        <f>((Traffic_related_data!Z81)*'Auto-OperatingCostSavings'!$C$6)</f>
        <v>-9834.3377377608322</v>
      </c>
      <c r="D41" s="262">
        <f t="shared" si="0"/>
        <v>-4032.0784724819409</v>
      </c>
      <c r="E41" s="258">
        <f t="shared" si="3"/>
        <v>-694</v>
      </c>
      <c r="F41" s="259">
        <f t="shared" si="3"/>
        <v>-1870</v>
      </c>
    </row>
    <row r="42" spans="1:6">
      <c r="A42" s="332">
        <f>IF((B42&gt;(Inputs!$B$7+Inputs!$B$8)),0,IF((B42&lt;Inputs!$B$7),0,((B42-Inputs!$B$7))))</f>
        <v>22</v>
      </c>
      <c r="B42" s="255">
        <f t="shared" si="2"/>
        <v>2047</v>
      </c>
      <c r="C42" s="275">
        <f>((Traffic_related_data!Z82)*'Auto-OperatingCostSavings'!$C$6)</f>
        <v>-9834.3377377608322</v>
      </c>
      <c r="D42" s="262">
        <f t="shared" si="0"/>
        <v>-4032.0784724819409</v>
      </c>
      <c r="E42" s="258">
        <f t="shared" si="3"/>
        <v>-649</v>
      </c>
      <c r="F42" s="259">
        <f t="shared" si="3"/>
        <v>-1815</v>
      </c>
    </row>
    <row r="43" spans="1:6">
      <c r="A43" s="332">
        <f>IF((B43&gt;(Inputs!$B$7+Inputs!$B$8)),0,IF((B43&lt;Inputs!$B$7),0,((B43-Inputs!$B$7))))</f>
        <v>23</v>
      </c>
      <c r="B43" s="255">
        <f t="shared" si="2"/>
        <v>2048</v>
      </c>
      <c r="C43" s="275">
        <f>((Traffic_related_data!Z83)*'Auto-OperatingCostSavings'!$C$6)</f>
        <v>-9834.3377377608322</v>
      </c>
      <c r="D43" s="262">
        <f t="shared" si="0"/>
        <v>-4032.0784724819409</v>
      </c>
      <c r="E43" s="258">
        <f t="shared" si="3"/>
        <v>-606</v>
      </c>
      <c r="F43" s="259">
        <f t="shared" si="3"/>
        <v>-1762</v>
      </c>
    </row>
    <row r="44" spans="1:6">
      <c r="A44" s="332">
        <f>IF((B44&gt;(Inputs!$B$7+Inputs!$B$8)),0,IF((B44&lt;Inputs!$B$7),0,((B44-Inputs!$B$7))))</f>
        <v>24</v>
      </c>
      <c r="B44" s="255">
        <f t="shared" si="2"/>
        <v>2049</v>
      </c>
      <c r="C44" s="275">
        <f>((Traffic_related_data!Z84)*'Auto-OperatingCostSavings'!$C$6)</f>
        <v>-9834.3377377608322</v>
      </c>
      <c r="D44" s="262">
        <f t="shared" si="0"/>
        <v>-4032.0784724819409</v>
      </c>
      <c r="E44" s="258">
        <f t="shared" si="3"/>
        <v>-567</v>
      </c>
      <c r="F44" s="259">
        <f t="shared" si="3"/>
        <v>-1711</v>
      </c>
    </row>
    <row r="45" spans="1:6">
      <c r="A45" s="332">
        <f>IF((B45&gt;(Inputs!$B$7+Inputs!$B$8)),0,IF((B45&lt;Inputs!$B$7),0,((B45-Inputs!$B$7))))</f>
        <v>25</v>
      </c>
      <c r="B45" s="255">
        <f t="shared" si="2"/>
        <v>2050</v>
      </c>
      <c r="C45" s="275">
        <f>((Traffic_related_data!Z85)*'Auto-OperatingCostSavings'!$C$6)</f>
        <v>-9834.3377377608322</v>
      </c>
      <c r="D45" s="262">
        <f t="shared" si="0"/>
        <v>-4032.0784724819409</v>
      </c>
      <c r="E45" s="258">
        <f t="shared" si="3"/>
        <v>-530</v>
      </c>
      <c r="F45" s="259">
        <f t="shared" si="3"/>
        <v>-1661</v>
      </c>
    </row>
    <row r="46" spans="1:6">
      <c r="A46" s="332">
        <f>IF((B46&gt;(Inputs!$B$7+Inputs!$B$8)),0,IF((B46&lt;Inputs!$B$7),0,((B46-Inputs!$B$7))))</f>
        <v>26</v>
      </c>
      <c r="B46" s="255">
        <f t="shared" si="2"/>
        <v>2051</v>
      </c>
      <c r="C46" s="275">
        <f>((Traffic_related_data!Z86)*'Auto-OperatingCostSavings'!$C$6)</f>
        <v>-9834.3377377608322</v>
      </c>
      <c r="D46" s="262">
        <f t="shared" si="0"/>
        <v>-4032.0784724819409</v>
      </c>
      <c r="E46" s="258">
        <f t="shared" si="3"/>
        <v>-495</v>
      </c>
      <c r="F46" s="259">
        <f t="shared" si="3"/>
        <v>-1613</v>
      </c>
    </row>
    <row r="47" spans="1:6">
      <c r="A47" s="332">
        <f>IF((B47&gt;(Inputs!$B$7+Inputs!$B$8)),0,IF((B47&lt;Inputs!$B$7),0,((B47-Inputs!$B$7))))</f>
        <v>27</v>
      </c>
      <c r="B47" s="255">
        <f t="shared" si="2"/>
        <v>2052</v>
      </c>
      <c r="C47" s="275">
        <f>((Traffic_related_data!Z87)*'Auto-OperatingCostSavings'!$C$6)</f>
        <v>-9834.3377377608322</v>
      </c>
      <c r="D47" s="262">
        <f t="shared" si="0"/>
        <v>-4032.0784724819409</v>
      </c>
      <c r="E47" s="258">
        <f t="shared" si="3"/>
        <v>-463</v>
      </c>
      <c r="F47" s="259">
        <f t="shared" si="3"/>
        <v>-1566</v>
      </c>
    </row>
    <row r="48" spans="1:6">
      <c r="A48" s="332">
        <f>IF((B48&gt;(Inputs!$B$7+Inputs!$B$8)),0,IF((B48&lt;Inputs!$B$7),0,((B48-Inputs!$B$7))))</f>
        <v>28</v>
      </c>
      <c r="B48" s="255">
        <f t="shared" si="2"/>
        <v>2053</v>
      </c>
      <c r="C48" s="275">
        <f>((Traffic_related_data!Z88)*'Auto-OperatingCostSavings'!$C$6)</f>
        <v>-9834.3377377608322</v>
      </c>
      <c r="D48" s="262">
        <f t="shared" si="0"/>
        <v>-4032.0784724819409</v>
      </c>
      <c r="E48" s="258">
        <f t="shared" si="3"/>
        <v>-432</v>
      </c>
      <c r="F48" s="259">
        <f t="shared" si="3"/>
        <v>-1520</v>
      </c>
    </row>
    <row r="49" spans="1:6">
      <c r="A49" s="332">
        <f>IF((B49&gt;(Inputs!$B$7+Inputs!$B$8)),0,IF((B49&lt;Inputs!$B$7),0,((B49-Inputs!$B$7))))</f>
        <v>29</v>
      </c>
      <c r="B49" s="255">
        <f t="shared" si="2"/>
        <v>2054</v>
      </c>
      <c r="C49" s="275">
        <f>((Traffic_related_data!Z89)*'Auto-OperatingCostSavings'!$C$6)</f>
        <v>-9834.3377377608322</v>
      </c>
      <c r="D49" s="262">
        <f t="shared" si="0"/>
        <v>-4032.0784724819409</v>
      </c>
      <c r="E49" s="258">
        <f t="shared" si="3"/>
        <v>-404</v>
      </c>
      <c r="F49" s="259">
        <f t="shared" si="3"/>
        <v>-1476</v>
      </c>
    </row>
    <row r="50" spans="1:6">
      <c r="A50" s="332">
        <f>IF((B50&gt;(Inputs!$B$7+Inputs!$B$8)),0,IF((B50&lt;Inputs!$B$7),0,((B50-Inputs!$B$7))))</f>
        <v>30</v>
      </c>
      <c r="B50" s="255">
        <f t="shared" si="2"/>
        <v>2055</v>
      </c>
      <c r="C50" s="275">
        <f>((Traffic_related_data!Z90)*'Auto-OperatingCostSavings'!$C$6)</f>
        <v>-9834.3377377608322</v>
      </c>
      <c r="D50" s="262">
        <f t="shared" si="0"/>
        <v>-4032.0784724819409</v>
      </c>
      <c r="E50" s="258">
        <f t="shared" si="3"/>
        <v>-378</v>
      </c>
      <c r="F50" s="259">
        <f t="shared" si="3"/>
        <v>-1433</v>
      </c>
    </row>
    <row r="51" spans="1:6">
      <c r="A51" s="332">
        <f>IF((B51&gt;(Inputs!$B$7+Inputs!$B$8)),0,IF((B51&lt;Inputs!$B$7),0,((B51-Inputs!$B$7))))</f>
        <v>0</v>
      </c>
      <c r="B51" s="255">
        <f t="shared" si="2"/>
        <v>2056</v>
      </c>
      <c r="C51" s="275">
        <f>((Traffic_related_data!Z91)*'Auto-OperatingCostSavings'!$C$6)</f>
        <v>-9834.3377377608322</v>
      </c>
      <c r="D51" s="262">
        <f t="shared" si="0"/>
        <v>0</v>
      </c>
      <c r="E51" s="258">
        <f t="shared" si="3"/>
        <v>0</v>
      </c>
      <c r="F51" s="259">
        <f t="shared" si="3"/>
        <v>0</v>
      </c>
    </row>
    <row r="52" spans="1:6">
      <c r="A52" s="332">
        <f>IF((B52&gt;(Inputs!$B$7+Inputs!$B$8)),0,IF((B52&lt;Inputs!$B$7),0,((B52-Inputs!$B$7))))</f>
        <v>0</v>
      </c>
      <c r="B52" s="255">
        <f t="shared" si="2"/>
        <v>2057</v>
      </c>
      <c r="C52" s="275">
        <f>((Traffic_related_data!Z92)*'Auto-OperatingCostSavings'!$C$6)</f>
        <v>-9834.3377377608322</v>
      </c>
      <c r="D52" s="262">
        <f t="shared" si="0"/>
        <v>0</v>
      </c>
      <c r="E52" s="258">
        <f t="shared" si="3"/>
        <v>0</v>
      </c>
      <c r="F52" s="259">
        <f t="shared" si="3"/>
        <v>0</v>
      </c>
    </row>
    <row r="53" spans="1:6">
      <c r="A53" s="332">
        <f>IF((B53&gt;(Inputs!$B$7+Inputs!$B$8)),0,IF((B53&lt;Inputs!$B$7),0,((B53-Inputs!$B$7))))</f>
        <v>0</v>
      </c>
      <c r="B53" s="255">
        <f t="shared" si="2"/>
        <v>2058</v>
      </c>
      <c r="C53" s="275">
        <f>((Traffic_related_data!Z93)*'Auto-OperatingCostSavings'!$C$6)</f>
        <v>-9834.3377377608322</v>
      </c>
      <c r="D53" s="262">
        <f t="shared" si="0"/>
        <v>0</v>
      </c>
      <c r="E53" s="258">
        <f t="shared" si="3"/>
        <v>0</v>
      </c>
      <c r="F53" s="259">
        <f t="shared" si="3"/>
        <v>0</v>
      </c>
    </row>
    <row r="54" spans="1:6">
      <c r="A54" s="332">
        <f>IF((B54&gt;(Inputs!$B$7+Inputs!$B$8)),0,IF((B54&lt;Inputs!$B$7),0,((B54-Inputs!$B$7))))</f>
        <v>0</v>
      </c>
      <c r="B54" s="255">
        <f t="shared" si="2"/>
        <v>2059</v>
      </c>
      <c r="C54" s="275">
        <f>((Traffic_related_data!Z94)*'Auto-OperatingCostSavings'!$C$6)</f>
        <v>-9834.3377377608322</v>
      </c>
      <c r="D54" s="262">
        <f t="shared" si="0"/>
        <v>0</v>
      </c>
      <c r="E54" s="258">
        <f t="shared" si="3"/>
        <v>0</v>
      </c>
      <c r="F54" s="259">
        <f t="shared" si="3"/>
        <v>0</v>
      </c>
    </row>
    <row r="55" spans="1:6" ht="15.75" thickBot="1">
      <c r="A55" s="332">
        <f>IF((B55&gt;(Inputs!$B$7+Inputs!$B$8)),0,IF((B55&lt;Inputs!$B$7),0,((B55-Inputs!$B$7))))</f>
        <v>0</v>
      </c>
      <c r="B55" s="255">
        <f t="shared" si="2"/>
        <v>2060</v>
      </c>
      <c r="C55" s="276">
        <f>((Traffic_related_data!Z95)*'Auto-OperatingCostSavings'!$C$6)</f>
        <v>-9834.3377377608322</v>
      </c>
      <c r="D55" s="268">
        <f t="shared" si="0"/>
        <v>0</v>
      </c>
      <c r="E55" s="269">
        <f t="shared" si="3"/>
        <v>0</v>
      </c>
      <c r="F55" s="270">
        <f t="shared" si="3"/>
        <v>0</v>
      </c>
    </row>
    <row r="56" spans="1:6">
      <c r="D56" s="134"/>
      <c r="E56" s="134"/>
      <c r="F56" s="134"/>
    </row>
    <row r="57" spans="1:6">
      <c r="D57" s="138">
        <f>SUM(D13:D55)</f>
        <v>-87514.548822532714</v>
      </c>
      <c r="E57" s="138">
        <f t="shared" ref="E57:F57" si="4">SUM(E13:E55)</f>
        <v>-26674</v>
      </c>
      <c r="F57" s="138">
        <f t="shared" si="4"/>
        <v>-48988</v>
      </c>
    </row>
  </sheetData>
  <mergeCells count="1">
    <mergeCell ref="C11:D1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5" tint="0.79998168889431442"/>
  </sheetPr>
  <dimension ref="A1:AA82"/>
  <sheetViews>
    <sheetView workbookViewId="0">
      <selection sqref="A1:K1"/>
    </sheetView>
  </sheetViews>
  <sheetFormatPr defaultRowHeight="15"/>
  <cols>
    <col min="1" max="1" width="11.28515625" customWidth="1"/>
    <col min="2" max="2" width="33.7109375" customWidth="1"/>
    <col min="3" max="3" width="13" customWidth="1"/>
    <col min="4" max="4" width="16" customWidth="1"/>
    <col min="5" max="27" width="16" style="64" customWidth="1"/>
    <col min="28" max="28" width="25.42578125" customWidth="1"/>
    <col min="29" max="29" width="26.42578125" customWidth="1"/>
    <col min="30" max="32" width="16" customWidth="1"/>
    <col min="33" max="33" width="25.42578125" customWidth="1"/>
    <col min="34" max="34" width="26.42578125" customWidth="1"/>
    <col min="35" max="37" width="16" customWidth="1"/>
    <col min="38" max="38" width="25.42578125" customWidth="1"/>
    <col min="39" max="39" width="26.42578125" customWidth="1"/>
    <col min="40" max="42" width="16" customWidth="1"/>
    <col min="43" max="43" width="25.42578125" customWidth="1"/>
    <col min="44" max="44" width="26.42578125" customWidth="1"/>
    <col min="45" max="47" width="16" customWidth="1"/>
    <col min="48" max="48" width="25.42578125" customWidth="1"/>
    <col min="49" max="49" width="26.42578125" customWidth="1"/>
    <col min="50" max="52" width="16" customWidth="1"/>
    <col min="53" max="53" width="25.42578125" customWidth="1"/>
    <col min="54" max="54" width="26.42578125" customWidth="1"/>
    <col min="55" max="57" width="16" customWidth="1"/>
    <col min="58" max="58" width="25.42578125" customWidth="1"/>
    <col min="59" max="59" width="26.42578125" customWidth="1"/>
    <col min="60" max="62" width="16" customWidth="1"/>
    <col min="63" max="63" width="25.42578125" customWidth="1"/>
    <col min="64" max="64" width="26.42578125" customWidth="1"/>
    <col min="65" max="67" width="16" customWidth="1"/>
    <col min="68" max="68" width="25.42578125" customWidth="1"/>
    <col min="69" max="69" width="26.42578125" customWidth="1"/>
  </cols>
  <sheetData>
    <row r="1" spans="1:9">
      <c r="A1" s="205"/>
    </row>
    <row r="2" spans="1:9">
      <c r="B2" s="16" t="s">
        <v>152</v>
      </c>
    </row>
    <row r="3" spans="1:9">
      <c r="B3" s="8" t="s">
        <v>445</v>
      </c>
    </row>
    <row r="4" spans="1:9">
      <c r="B4" s="69" t="s">
        <v>153</v>
      </c>
    </row>
    <row r="6" spans="1:9">
      <c r="B6" s="70" t="s">
        <v>154</v>
      </c>
    </row>
    <row r="7" spans="1:9">
      <c r="B7" s="64" t="s">
        <v>145</v>
      </c>
      <c r="C7">
        <f>Inputs!B16</f>
        <v>0</v>
      </c>
    </row>
    <row r="8" spans="1:9">
      <c r="B8" s="64" t="s">
        <v>146</v>
      </c>
      <c r="C8">
        <f>Inputs!B14</f>
        <v>300</v>
      </c>
    </row>
    <row r="9" spans="1:9" s="64" customFormat="1"/>
    <row r="10" spans="1:9" ht="26.25">
      <c r="B10" s="108" t="s">
        <v>230</v>
      </c>
      <c r="C10" s="80">
        <f>Inputs!B21</f>
        <v>0</v>
      </c>
    </row>
    <row r="11" spans="1:9" ht="39">
      <c r="B11" s="108" t="s">
        <v>229</v>
      </c>
      <c r="C11" s="80">
        <f>Inputs!B23</f>
        <v>7.918974358974358E-2</v>
      </c>
    </row>
    <row r="12" spans="1:9">
      <c r="B12" s="64" t="s">
        <v>4</v>
      </c>
      <c r="C12" s="64">
        <f>Inputs!B10</f>
        <v>2020</v>
      </c>
    </row>
    <row r="13" spans="1:9">
      <c r="B13" s="64"/>
      <c r="C13" s="72"/>
    </row>
    <row r="14" spans="1:9">
      <c r="B14" s="64"/>
      <c r="C14" s="72"/>
    </row>
    <row r="15" spans="1:9" s="64" customFormat="1" ht="15.75" thickBot="1">
      <c r="A15" s="332"/>
      <c r="F15" s="675" t="s">
        <v>486</v>
      </c>
      <c r="G15" s="675"/>
      <c r="H15" s="2">
        <f>Inputs!$B$3</f>
        <v>7.0000000000000007E-2</v>
      </c>
      <c r="I15" s="2">
        <f>Inputs!$B$4</f>
        <v>0.03</v>
      </c>
    </row>
    <row r="16" spans="1:9" s="64" customFormat="1" ht="60">
      <c r="A16" s="75" t="s">
        <v>147</v>
      </c>
      <c r="B16" s="75" t="s">
        <v>0</v>
      </c>
      <c r="C16" s="286" t="s">
        <v>155</v>
      </c>
      <c r="D16" s="286" t="s">
        <v>156</v>
      </c>
      <c r="E16" s="271" t="s">
        <v>157</v>
      </c>
      <c r="F16" s="272" t="s">
        <v>158</v>
      </c>
      <c r="G16" s="272" t="s">
        <v>159</v>
      </c>
      <c r="H16" s="272" t="s">
        <v>166</v>
      </c>
      <c r="I16" s="132" t="s">
        <v>167</v>
      </c>
    </row>
    <row r="17" spans="1:27">
      <c r="A17" s="421">
        <f>IF((B17&gt;(Inputs!$B$7+Inputs!$B$8)),0,IF((B17&lt;Inputs!$B$7),0,((B17-Inputs!$B$7))))</f>
        <v>0</v>
      </c>
      <c r="B17" s="7">
        <v>2018</v>
      </c>
      <c r="C17" s="287"/>
      <c r="D17" s="287"/>
      <c r="E17" s="273"/>
      <c r="F17" s="125"/>
      <c r="G17" s="125"/>
      <c r="H17" s="125"/>
      <c r="I17" s="27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>
      <c r="A18" s="332">
        <f>IF((B18&gt;(Inputs!$B$7+Inputs!$B$8)),0,IF((B18&lt;Inputs!$B$7),0,((B18-Inputs!$B$7))))</f>
        <v>0</v>
      </c>
      <c r="B18" s="7">
        <f>B17+1</f>
        <v>2019</v>
      </c>
      <c r="C18" s="288">
        <f>(Traffic_related_data!Z54*$C$8)</f>
        <v>-36232.12317152883</v>
      </c>
      <c r="D18" s="289">
        <f t="shared" ref="D18:D59" si="0">IF((A18&gt;0),(C18*$C$10),0)</f>
        <v>0</v>
      </c>
      <c r="E18" s="275">
        <f>Traffic_related_data!AA54*$C$8</f>
        <v>-1964.8085334476234</v>
      </c>
      <c r="F18" s="258">
        <f t="shared" ref="F18:F59" si="1">IF(($A18&gt;0),(E18*$C$11),0)</f>
        <v>0</v>
      </c>
      <c r="G18" s="262">
        <f>$D18+F18</f>
        <v>0</v>
      </c>
      <c r="H18" s="258">
        <f>ROUND(G18/((1+H$15)^($B18-$C$12)),0)</f>
        <v>0</v>
      </c>
      <c r="I18" s="259">
        <f>ROUND(G18/((1+I$15)^($B18-$C$12)),0)</f>
        <v>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>
      <c r="A19" s="332">
        <f>IF((B19&gt;(Inputs!$B$7+Inputs!$B$8)),0,IF((B19&lt;Inputs!$B$7),0,((B19-Inputs!$B$7))))</f>
        <v>0</v>
      </c>
      <c r="B19" s="7">
        <f t="shared" ref="B19:B59" si="2">B18+1</f>
        <v>2020</v>
      </c>
      <c r="C19" s="288">
        <f>(Traffic_related_data!Z55*$C$8)</f>
        <v>4568.076746804627</v>
      </c>
      <c r="D19" s="289">
        <f t="shared" si="0"/>
        <v>0</v>
      </c>
      <c r="E19" s="275">
        <f>Traffic_related_data!AA55*$C$8</f>
        <v>133.34108616269603</v>
      </c>
      <c r="F19" s="258">
        <f t="shared" si="1"/>
        <v>0</v>
      </c>
      <c r="G19" s="262">
        <f t="shared" ref="G19:G59" si="3">$D19+F19</f>
        <v>0</v>
      </c>
      <c r="H19" s="258">
        <f t="shared" ref="H19:H59" si="4">ROUND(G19/((1+H$15)^($B19-$C$12)),0)</f>
        <v>0</v>
      </c>
      <c r="I19" s="259">
        <f t="shared" ref="I19:I59" si="5">ROUND(G19/((1+I$15)^($B19-$C$12)),0)</f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>
      <c r="A20" s="332">
        <f>IF((B20&gt;(Inputs!$B$7+Inputs!$B$8)),0,IF((B20&lt;Inputs!$B$7),0,((B20-Inputs!$B$7))))</f>
        <v>0</v>
      </c>
      <c r="B20" s="7">
        <f t="shared" si="2"/>
        <v>2021</v>
      </c>
      <c r="C20" s="288">
        <f>(Traffic_related_data!Z56*$C$8)</f>
        <v>-2464.0301805414497</v>
      </c>
      <c r="D20" s="289">
        <f t="shared" si="0"/>
        <v>0</v>
      </c>
      <c r="E20" s="275">
        <f>Traffic_related_data!AA56*$C$8</f>
        <v>-1928.199036426573</v>
      </c>
      <c r="F20" s="258">
        <f t="shared" si="1"/>
        <v>0</v>
      </c>
      <c r="G20" s="262">
        <f t="shared" si="3"/>
        <v>0</v>
      </c>
      <c r="H20" s="258">
        <f t="shared" si="4"/>
        <v>0</v>
      </c>
      <c r="I20" s="259">
        <f t="shared" si="5"/>
        <v>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>
      <c r="A21" s="332">
        <f>IF((B21&gt;(Inputs!$B$7+Inputs!$B$8)),0,IF((B21&lt;Inputs!$B$7),0,((B21-Inputs!$B$7))))</f>
        <v>0</v>
      </c>
      <c r="B21" s="7">
        <f t="shared" si="2"/>
        <v>2022</v>
      </c>
      <c r="C21" s="288">
        <f>(Traffic_related_data!Z57*$C$8)</f>
        <v>-9495.5505657091235</v>
      </c>
      <c r="D21" s="289">
        <f t="shared" si="0"/>
        <v>0</v>
      </c>
      <c r="E21" s="275">
        <f>Traffic_related_data!AA57*$C$8</f>
        <v>-3989.5280430230114</v>
      </c>
      <c r="F21" s="258">
        <f t="shared" si="1"/>
        <v>0</v>
      </c>
      <c r="G21" s="262">
        <f t="shared" si="3"/>
        <v>0</v>
      </c>
      <c r="H21" s="258">
        <f t="shared" si="4"/>
        <v>0</v>
      </c>
      <c r="I21" s="259">
        <f t="shared" si="5"/>
        <v>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>
      <c r="A22" s="332">
        <f>IF((B22&gt;(Inputs!$B$7+Inputs!$B$8)),0,IF((B22&lt;Inputs!$B$7),0,((B22-Inputs!$B$7))))</f>
        <v>0</v>
      </c>
      <c r="B22" s="7">
        <f t="shared" si="2"/>
        <v>2023</v>
      </c>
      <c r="C22" s="288">
        <f>(Traffic_related_data!Z58*$C$8)</f>
        <v>-16526.503895096434</v>
      </c>
      <c r="D22" s="289">
        <f t="shared" si="0"/>
        <v>0</v>
      </c>
      <c r="E22" s="275">
        <f>Traffic_related_data!AA58*$C$8</f>
        <v>-6050.6528647371588</v>
      </c>
      <c r="F22" s="258">
        <f t="shared" si="1"/>
        <v>0</v>
      </c>
      <c r="G22" s="262">
        <f t="shared" si="3"/>
        <v>0</v>
      </c>
      <c r="H22" s="258">
        <f t="shared" si="4"/>
        <v>0</v>
      </c>
      <c r="I22" s="259">
        <f t="shared" si="5"/>
        <v>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>
      <c r="A23" s="332">
        <f>IF((B23&gt;(Inputs!$B$7+Inputs!$B$8)),0,IF((B23&lt;Inputs!$B$7),0,((B23-Inputs!$B$7))))</f>
        <v>0</v>
      </c>
      <c r="B23" s="7">
        <f t="shared" si="2"/>
        <v>2024</v>
      </c>
      <c r="C23" s="288">
        <f>(Traffic_related_data!Z59*$C$8)</f>
        <v>-23556.908801377725</v>
      </c>
      <c r="D23" s="289">
        <f t="shared" si="0"/>
        <v>0</v>
      </c>
      <c r="E23" s="275">
        <f>Traffic_related_data!AA59*$C$8</f>
        <v>-8111.5801325584516</v>
      </c>
      <c r="F23" s="258">
        <f t="shared" si="1"/>
        <v>0</v>
      </c>
      <c r="G23" s="262">
        <f t="shared" si="3"/>
        <v>0</v>
      </c>
      <c r="H23" s="258">
        <f t="shared" si="4"/>
        <v>0</v>
      </c>
      <c r="I23" s="259">
        <f t="shared" si="5"/>
        <v>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>
      <c r="A24" s="332">
        <f>IF((B24&gt;(Inputs!$B$7+Inputs!$B$8)),0,IF((B24&lt;Inputs!$B$7),0,((B24-Inputs!$B$7))))</f>
        <v>0</v>
      </c>
      <c r="B24" s="7">
        <f t="shared" si="2"/>
        <v>2025</v>
      </c>
      <c r="C24" s="288">
        <f>(Traffic_related_data!Z60*$C$8)</f>
        <v>-30586.783109731707</v>
      </c>
      <c r="D24" s="289">
        <f t="shared" si="0"/>
        <v>0</v>
      </c>
      <c r="E24" s="275">
        <f>Traffic_related_data!AA60*$C$8</f>
        <v>-10172.316193422512</v>
      </c>
      <c r="F24" s="258">
        <f t="shared" si="1"/>
        <v>0</v>
      </c>
      <c r="G24" s="262">
        <f t="shared" si="3"/>
        <v>0</v>
      </c>
      <c r="H24" s="258">
        <f t="shared" si="4"/>
        <v>0</v>
      </c>
      <c r="I24" s="259">
        <f t="shared" si="5"/>
        <v>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>
      <c r="A25" s="332">
        <f>IF((B25&gt;(Inputs!$B$7+Inputs!$B$8)),0,IF((B25&lt;Inputs!$B$7),0,((B25-Inputs!$B$7))))</f>
        <v>1</v>
      </c>
      <c r="B25" s="7">
        <f t="shared" si="2"/>
        <v>2026</v>
      </c>
      <c r="C25" s="288">
        <f>(Traffic_related_data!Z61*$C$8)</f>
        <v>-24626.172510037824</v>
      </c>
      <c r="D25" s="289">
        <f t="shared" si="0"/>
        <v>0</v>
      </c>
      <c r="E25" s="275">
        <f>Traffic_related_data!AA61*$C$8</f>
        <v>-7805.2328410055115</v>
      </c>
      <c r="F25" s="258">
        <f t="shared" si="1"/>
        <v>-618.09438733747231</v>
      </c>
      <c r="G25" s="262">
        <f t="shared" si="3"/>
        <v>-618.09438733747231</v>
      </c>
      <c r="H25" s="258">
        <f t="shared" si="4"/>
        <v>-412</v>
      </c>
      <c r="I25" s="259">
        <f t="shared" si="5"/>
        <v>-518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>
      <c r="A26" s="332">
        <f>IF((B26&gt;(Inputs!$B$7+Inputs!$B$8)),0,IF((B26&lt;Inputs!$B$7),0,((B26-Inputs!$B$7))))</f>
        <v>2</v>
      </c>
      <c r="B26" s="7">
        <f t="shared" si="2"/>
        <v>2027</v>
      </c>
      <c r="C26" s="288">
        <f>(Traffic_related_data!Z62*$C$8)</f>
        <v>-18665.429477909387</v>
      </c>
      <c r="D26" s="289">
        <f t="shared" si="0"/>
        <v>0</v>
      </c>
      <c r="E26" s="275">
        <f>Traffic_related_data!AA62*$C$8</f>
        <v>-5439.5075173999112</v>
      </c>
      <c r="F26" s="258">
        <f t="shared" si="1"/>
        <v>-430.75320555738165</v>
      </c>
      <c r="G26" s="262">
        <f t="shared" si="3"/>
        <v>-430.75320555738165</v>
      </c>
      <c r="H26" s="258">
        <f t="shared" si="4"/>
        <v>-268</v>
      </c>
      <c r="I26" s="259">
        <f t="shared" si="5"/>
        <v>-350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>
      <c r="A27" s="332">
        <f>IF((B27&gt;(Inputs!$B$7+Inputs!$B$8)),0,IF((B27&lt;Inputs!$B$7),0,((B27-Inputs!$B$7))))</f>
        <v>3</v>
      </c>
      <c r="B27" s="7">
        <f t="shared" si="2"/>
        <v>2028</v>
      </c>
      <c r="C27" s="288">
        <f>(Traffic_related_data!Z63*$C$8)</f>
        <v>-12704.558418723669</v>
      </c>
      <c r="D27" s="289">
        <f t="shared" si="0"/>
        <v>0</v>
      </c>
      <c r="E27" s="275">
        <f>Traffic_related_data!AA63*$C$8</f>
        <v>-3075.0911093280583</v>
      </c>
      <c r="F27" s="258">
        <f t="shared" si="1"/>
        <v>-243.51567646278909</v>
      </c>
      <c r="G27" s="262">
        <f t="shared" si="3"/>
        <v>-243.51567646278909</v>
      </c>
      <c r="H27" s="258">
        <f t="shared" si="4"/>
        <v>-142</v>
      </c>
      <c r="I27" s="259">
        <f t="shared" si="5"/>
        <v>-192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>
      <c r="A28" s="332">
        <f>IF((B28&gt;(Inputs!$B$7+Inputs!$B$8)),0,IF((B28&lt;Inputs!$B$7),0,((B28-Inputs!$B$7))))</f>
        <v>4</v>
      </c>
      <c r="B28" s="7">
        <f t="shared" si="2"/>
        <v>2029</v>
      </c>
      <c r="C28" s="288">
        <f>(Traffic_related_data!Z64*$C$8)</f>
        <v>-6743.5635446503384</v>
      </c>
      <c r="D28" s="289">
        <f t="shared" si="0"/>
        <v>0</v>
      </c>
      <c r="E28" s="275">
        <f>Traffic_related_data!AA64*$C$8</f>
        <v>-711.93681273587515</v>
      </c>
      <c r="F28" s="258">
        <f t="shared" si="1"/>
        <v>-56.378093652653241</v>
      </c>
      <c r="G28" s="262">
        <f t="shared" si="3"/>
        <v>-56.378093652653241</v>
      </c>
      <c r="H28" s="258">
        <f t="shared" si="4"/>
        <v>-31</v>
      </c>
      <c r="I28" s="259">
        <f t="shared" si="5"/>
        <v>-43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>
      <c r="A29" s="332">
        <f>IF((B29&gt;(Inputs!$B$7+Inputs!$B$8)),0,IF((B29&lt;Inputs!$B$7),0,((B29-Inputs!$B$7))))</f>
        <v>5</v>
      </c>
      <c r="B29" s="7">
        <f t="shared" si="2"/>
        <v>2030</v>
      </c>
      <c r="C29" s="288">
        <f>(Traffic_related_data!Z65*$C$8)</f>
        <v>-782.44888505153654</v>
      </c>
      <c r="D29" s="289">
        <f t="shared" si="0"/>
        <v>0</v>
      </c>
      <c r="E29" s="275">
        <f>Traffic_related_data!AA65*$C$8</f>
        <v>1649.9999999997315</v>
      </c>
      <c r="F29" s="258">
        <f t="shared" si="1"/>
        <v>130.66307692305566</v>
      </c>
      <c r="G29" s="262">
        <f t="shared" si="3"/>
        <v>130.66307692305566</v>
      </c>
      <c r="H29" s="258">
        <f t="shared" si="4"/>
        <v>66</v>
      </c>
      <c r="I29" s="259">
        <f t="shared" si="5"/>
        <v>97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>
      <c r="A30" s="332">
        <f>IF((B30&gt;(Inputs!$B$7+Inputs!$B$8)),0,IF((B30&lt;Inputs!$B$7),0,((B30-Inputs!$B$7))))</f>
        <v>6</v>
      </c>
      <c r="B30" s="7">
        <f t="shared" si="2"/>
        <v>2031</v>
      </c>
      <c r="C30" s="288">
        <f>(Traffic_related_data!Z66*$C$8)</f>
        <v>-904.25765859331875</v>
      </c>
      <c r="D30" s="289">
        <f t="shared" si="0"/>
        <v>0</v>
      </c>
      <c r="E30" s="275">
        <f>Traffic_related_data!AA66*$C$8</f>
        <v>-10.469994656603188</v>
      </c>
      <c r="F30" s="258">
        <f t="shared" si="1"/>
        <v>-0.82911619224239186</v>
      </c>
      <c r="G30" s="262">
        <f t="shared" si="3"/>
        <v>-0.82911619224239186</v>
      </c>
      <c r="H30" s="258">
        <f t="shared" si="4"/>
        <v>0</v>
      </c>
      <c r="I30" s="259">
        <f t="shared" si="5"/>
        <v>-1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>
      <c r="A31" s="332">
        <f>IF((B31&gt;(Inputs!$B$7+Inputs!$B$8)),0,IF((B31&lt;Inputs!$B$7),0,((B31-Inputs!$B$7))))</f>
        <v>7</v>
      </c>
      <c r="B31" s="7">
        <f t="shared" si="2"/>
        <v>2032</v>
      </c>
      <c r="C31" s="288">
        <f>(Traffic_related_data!Z67*$C$8)</f>
        <v>-1052.1597302091157</v>
      </c>
      <c r="D31" s="289">
        <f t="shared" si="0"/>
        <v>0</v>
      </c>
      <c r="E31" s="275">
        <f>Traffic_related_data!AA67*$C$8</f>
        <v>-1736.3808903432305</v>
      </c>
      <c r="F31" s="258">
        <f t="shared" si="1"/>
        <v>-137.50355748041108</v>
      </c>
      <c r="G31" s="262">
        <f t="shared" si="3"/>
        <v>-137.50355748041108</v>
      </c>
      <c r="H31" s="258">
        <f t="shared" si="4"/>
        <v>-61</v>
      </c>
      <c r="I31" s="259">
        <f t="shared" si="5"/>
        <v>-96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>
      <c r="A32" s="332">
        <f>IF((B32&gt;(Inputs!$B$7+Inputs!$B$8)),0,IF((B32&lt;Inputs!$B$7),0,((B32-Inputs!$B$7))))</f>
        <v>8</v>
      </c>
      <c r="B32" s="7">
        <f t="shared" si="2"/>
        <v>2033</v>
      </c>
      <c r="C32" s="288">
        <f>(Traffic_related_data!Z68*$C$8)</f>
        <v>-1225.0283452751769</v>
      </c>
      <c r="D32" s="289">
        <f t="shared" si="0"/>
        <v>0</v>
      </c>
      <c r="E32" s="275">
        <f>Traffic_related_data!AA68*$C$8</f>
        <v>-3526.3045903772745</v>
      </c>
      <c r="F32" s="258">
        <f t="shared" si="1"/>
        <v>-279.24715633131211</v>
      </c>
      <c r="G32" s="262">
        <f t="shared" si="3"/>
        <v>-279.24715633131211</v>
      </c>
      <c r="H32" s="258">
        <f t="shared" si="4"/>
        <v>-116</v>
      </c>
      <c r="I32" s="259">
        <f t="shared" si="5"/>
        <v>-190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>
      <c r="A33" s="332">
        <f>IF((B33&gt;(Inputs!$B$7+Inputs!$B$8)),0,IF((B33&lt;Inputs!$B$7),0,((B33-Inputs!$B$7))))</f>
        <v>9</v>
      </c>
      <c r="B33" s="7">
        <f t="shared" si="2"/>
        <v>2034</v>
      </c>
      <c r="C33" s="288">
        <f>(Traffic_related_data!Z69*$C$8)</f>
        <v>-1421.8007040434034</v>
      </c>
      <c r="D33" s="289">
        <f t="shared" si="0"/>
        <v>0</v>
      </c>
      <c r="E33" s="275">
        <f>Traffic_related_data!AA69*$C$8</f>
        <v>-5378.8545647890069</v>
      </c>
      <c r="F33" s="258">
        <f t="shared" si="1"/>
        <v>-425.95011379216328</v>
      </c>
      <c r="G33" s="262">
        <f t="shared" si="3"/>
        <v>-425.95011379216328</v>
      </c>
      <c r="H33" s="258">
        <f t="shared" si="4"/>
        <v>-165</v>
      </c>
      <c r="I33" s="259">
        <f t="shared" si="5"/>
        <v>-282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>
      <c r="A34" s="332">
        <f>IF((B34&gt;(Inputs!$B$7+Inputs!$B$8)),0,IF((B34&lt;Inputs!$B$7),0,((B34-Inputs!$B$7))))</f>
        <v>10</v>
      </c>
      <c r="B34" s="7">
        <f t="shared" si="2"/>
        <v>2035</v>
      </c>
      <c r="C34" s="288">
        <f>(Traffic_related_data!Z70*$C$8)</f>
        <v>-1641.4734874151154</v>
      </c>
      <c r="D34" s="289">
        <f t="shared" si="0"/>
        <v>0</v>
      </c>
      <c r="E34" s="275">
        <f>Traffic_related_data!AA70*$C$8</f>
        <v>-7292.684337862157</v>
      </c>
      <c r="F34" s="258">
        <f t="shared" si="1"/>
        <v>-577.50580279624319</v>
      </c>
      <c r="G34" s="262">
        <f t="shared" si="3"/>
        <v>-577.50580279624319</v>
      </c>
      <c r="H34" s="258">
        <f t="shared" si="4"/>
        <v>-209</v>
      </c>
      <c r="I34" s="259">
        <f t="shared" si="5"/>
        <v>-371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>
      <c r="A35" s="332">
        <f>IF((B35&gt;(Inputs!$B$7+Inputs!$B$8)),0,IF((B35&lt;Inputs!$B$7),0,((B35-Inputs!$B$7))))</f>
        <v>11</v>
      </c>
      <c r="B35" s="7">
        <f t="shared" si="2"/>
        <v>2036</v>
      </c>
      <c r="C35" s="288">
        <f>(Traffic_related_data!Z71*$C$8)</f>
        <v>-1815.3499791312968</v>
      </c>
      <c r="D35" s="289">
        <f t="shared" si="0"/>
        <v>0</v>
      </c>
      <c r="E35" s="275">
        <f>Traffic_related_data!AA71*$C$8</f>
        <v>-4038.8651630941263</v>
      </c>
      <c r="F35" s="258">
        <f t="shared" si="1"/>
        <v>-319.83669665897173</v>
      </c>
      <c r="G35" s="262">
        <f t="shared" si="3"/>
        <v>-319.83669665897173</v>
      </c>
      <c r="H35" s="258">
        <f t="shared" si="4"/>
        <v>-108</v>
      </c>
      <c r="I35" s="259">
        <f t="shared" si="5"/>
        <v>-199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>
      <c r="A36" s="332">
        <f>IF((B36&gt;(Inputs!$B$7+Inputs!$B$8)),0,IF((B36&lt;Inputs!$B$7),0,((B36-Inputs!$B$7))))</f>
        <v>12</v>
      </c>
      <c r="B36" s="7">
        <f t="shared" si="2"/>
        <v>2037</v>
      </c>
      <c r="C36" s="288">
        <f>(Traffic_related_data!Z72*$C$8)</f>
        <v>-1989.1647977719749</v>
      </c>
      <c r="D36" s="289">
        <f t="shared" si="0"/>
        <v>0</v>
      </c>
      <c r="E36" s="275">
        <f>Traffic_related_data!AA72*$C$8</f>
        <v>-789.92745539477926</v>
      </c>
      <c r="F36" s="258">
        <f t="shared" si="1"/>
        <v>-62.554152647211176</v>
      </c>
      <c r="G36" s="262">
        <f t="shared" si="3"/>
        <v>-62.554152647211176</v>
      </c>
      <c r="H36" s="258">
        <f t="shared" si="4"/>
        <v>-20</v>
      </c>
      <c r="I36" s="259">
        <f t="shared" si="5"/>
        <v>-38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>
      <c r="A37" s="332">
        <f>IF((B37&gt;(Inputs!$B$7+Inputs!$B$8)),0,IF((B37&lt;Inputs!$B$7),0,((B37-Inputs!$B$7))))</f>
        <v>13</v>
      </c>
      <c r="B37" s="7">
        <f t="shared" si="2"/>
        <v>2038</v>
      </c>
      <c r="C37" s="288">
        <f>(Traffic_related_data!Z73*$C$8)</f>
        <v>-2162.9200002125476</v>
      </c>
      <c r="D37" s="289">
        <f t="shared" si="0"/>
        <v>0</v>
      </c>
      <c r="E37" s="275">
        <f>Traffic_related_data!AA73*$C$8</f>
        <v>2454.3049882999767</v>
      </c>
      <c r="F37" s="258">
        <f t="shared" si="1"/>
        <v>194.35578271450376</v>
      </c>
      <c r="G37" s="262">
        <f t="shared" si="3"/>
        <v>194.35578271450376</v>
      </c>
      <c r="H37" s="258">
        <f t="shared" si="4"/>
        <v>58</v>
      </c>
      <c r="I37" s="259">
        <f t="shared" si="5"/>
        <v>114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>
      <c r="A38" s="332">
        <f>IF((B38&gt;(Inputs!$B$7+Inputs!$B$8)),0,IF((B38&lt;Inputs!$B$7),0,((B38-Inputs!$B$7))))</f>
        <v>14</v>
      </c>
      <c r="B38" s="7">
        <f t="shared" si="2"/>
        <v>2039</v>
      </c>
      <c r="C38" s="288">
        <f>(Traffic_related_data!Z74*$C$8)</f>
        <v>-2336.6175528616623</v>
      </c>
      <c r="D38" s="289">
        <f t="shared" si="0"/>
        <v>0</v>
      </c>
      <c r="E38" s="275">
        <f>Traffic_related_data!AA74*$C$8</f>
        <v>5694.0000000000409</v>
      </c>
      <c r="F38" s="258">
        <f t="shared" si="1"/>
        <v>450.9064000000032</v>
      </c>
      <c r="G38" s="262">
        <f t="shared" si="3"/>
        <v>450.9064000000032</v>
      </c>
      <c r="H38" s="258">
        <f t="shared" si="4"/>
        <v>125</v>
      </c>
      <c r="I38" s="259">
        <f t="shared" si="5"/>
        <v>257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>
      <c r="A39" s="332">
        <f>IF((B39&gt;(Inputs!$B$7+Inputs!$B$8)),0,IF((B39&lt;Inputs!$B$7),0,((B39-Inputs!$B$7))))</f>
        <v>15</v>
      </c>
      <c r="B39" s="7">
        <f t="shared" si="2"/>
        <v>2040</v>
      </c>
      <c r="C39" s="288">
        <f>(Traffic_related_data!Z75*$C$8)</f>
        <v>-2510.2593365889174</v>
      </c>
      <c r="D39" s="289">
        <f t="shared" si="0"/>
        <v>0</v>
      </c>
      <c r="E39" s="275">
        <f>Traffic_related_data!AA75*$C$8</f>
        <v>8929.3175315259377</v>
      </c>
      <c r="F39" s="258">
        <f t="shared" si="1"/>
        <v>707.11036575294111</v>
      </c>
      <c r="G39" s="262">
        <f t="shared" si="3"/>
        <v>707.11036575294111</v>
      </c>
      <c r="H39" s="258">
        <f t="shared" si="4"/>
        <v>183</v>
      </c>
      <c r="I39" s="259">
        <f t="shared" si="5"/>
        <v>392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>
      <c r="A40" s="332">
        <f>IF((B40&gt;(Inputs!$B$7+Inputs!$B$8)),0,IF((B40&lt;Inputs!$B$7),0,((B40-Inputs!$B$7))))</f>
        <v>16</v>
      </c>
      <c r="B40" s="7">
        <f t="shared" si="2"/>
        <v>2041</v>
      </c>
      <c r="C40" s="288">
        <f>(Traffic_related_data!Z76*$C$8)</f>
        <v>-3975.4830311945984</v>
      </c>
      <c r="D40" s="289">
        <f t="shared" si="0"/>
        <v>0</v>
      </c>
      <c r="E40" s="275">
        <f>Traffic_related_data!AA76*$C$8</f>
        <v>9886.1747022162235</v>
      </c>
      <c r="F40" s="258">
        <f t="shared" si="1"/>
        <v>782.88363975191237</v>
      </c>
      <c r="G40" s="262">
        <f t="shared" si="3"/>
        <v>782.88363975191237</v>
      </c>
      <c r="H40" s="258">
        <f t="shared" si="4"/>
        <v>189</v>
      </c>
      <c r="I40" s="259">
        <f t="shared" si="5"/>
        <v>421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>
      <c r="A41" s="332">
        <f>IF((B41&gt;(Inputs!$B$7+Inputs!$B$8)),0,IF((B41&lt;Inputs!$B$7),0,((B41-Inputs!$B$7))))</f>
        <v>17</v>
      </c>
      <c r="B41" s="7">
        <f t="shared" si="2"/>
        <v>2042</v>
      </c>
      <c r="C41" s="288">
        <f>(Traffic_related_data!Z77*$C$8)</f>
        <v>-5440.4956864624437</v>
      </c>
      <c r="D41" s="289">
        <f t="shared" si="0"/>
        <v>0</v>
      </c>
      <c r="E41" s="275">
        <f>Traffic_related_data!AA77*$C$8</f>
        <v>10842.72220546771</v>
      </c>
      <c r="F41" s="258">
        <f t="shared" si="1"/>
        <v>858.63239126580697</v>
      </c>
      <c r="G41" s="262">
        <f t="shared" si="3"/>
        <v>858.63239126580697</v>
      </c>
      <c r="H41" s="258">
        <f t="shared" si="4"/>
        <v>194</v>
      </c>
      <c r="I41" s="259">
        <f t="shared" si="5"/>
        <v>448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64" customFormat="1">
      <c r="A42" s="332">
        <f>IF((B42&gt;(Inputs!$B$7+Inputs!$B$8)),0,IF((B42&lt;Inputs!$B$7),0,((B42-Inputs!$B$7))))</f>
        <v>18</v>
      </c>
      <c r="B42" s="7">
        <f t="shared" si="2"/>
        <v>2043</v>
      </c>
      <c r="C42" s="288">
        <f>(Traffic_related_data!Z78*$C$8)</f>
        <v>-6905.3044943043888</v>
      </c>
      <c r="D42" s="289">
        <f t="shared" si="0"/>
        <v>0</v>
      </c>
      <c r="E42" s="275">
        <f>Traffic_related_data!AA78*$C$8</f>
        <v>11798.97012911934</v>
      </c>
      <c r="F42" s="258">
        <f t="shared" si="1"/>
        <v>934.35741914800417</v>
      </c>
      <c r="G42" s="262">
        <f t="shared" si="3"/>
        <v>934.35741914800417</v>
      </c>
      <c r="H42" s="258">
        <f t="shared" si="4"/>
        <v>197</v>
      </c>
      <c r="I42" s="259">
        <f t="shared" si="5"/>
        <v>473</v>
      </c>
    </row>
    <row r="43" spans="1:27" s="64" customFormat="1">
      <c r="A43" s="332">
        <f>IF((B43&gt;(Inputs!$B$7+Inputs!$B$8)),0,IF((B43&lt;Inputs!$B$7),0,((B43-Inputs!$B$7))))</f>
        <v>19</v>
      </c>
      <c r="B43" s="7">
        <f t="shared" si="2"/>
        <v>2044</v>
      </c>
      <c r="C43" s="288">
        <f>(Traffic_related_data!Z79*$C$8)</f>
        <v>-8369.916323542282</v>
      </c>
      <c r="D43" s="289">
        <f t="shared" si="0"/>
        <v>0</v>
      </c>
      <c r="E43" s="275">
        <f>Traffic_related_data!AA79*$C$8</f>
        <v>12754.928127523095</v>
      </c>
      <c r="F43" s="258">
        <f t="shared" si="1"/>
        <v>1010.0594879241621</v>
      </c>
      <c r="G43" s="262">
        <f t="shared" si="3"/>
        <v>1010.0594879241621</v>
      </c>
      <c r="H43" s="258">
        <f t="shared" si="4"/>
        <v>199</v>
      </c>
      <c r="I43" s="259">
        <f t="shared" si="5"/>
        <v>497</v>
      </c>
    </row>
    <row r="44" spans="1:27" s="64" customFormat="1">
      <c r="A44" s="332">
        <f>IF((B44&gt;(Inputs!$B$7+Inputs!$B$8)),0,IF((B44&lt;Inputs!$B$7),0,((B44-Inputs!$B$7))))</f>
        <v>20</v>
      </c>
      <c r="B44" s="7">
        <f t="shared" si="2"/>
        <v>2045</v>
      </c>
      <c r="C44" s="288">
        <f>(Traffic_related_data!Z80*$C$8)</f>
        <v>-9834.3377377608322</v>
      </c>
      <c r="D44" s="289">
        <f t="shared" si="0"/>
        <v>0</v>
      </c>
      <c r="E44" s="275">
        <f>Traffic_related_data!AA80*$C$8</f>
        <v>13710.60544458426</v>
      </c>
      <c r="F44" s="258">
        <f t="shared" si="1"/>
        <v>1085.7393296167697</v>
      </c>
      <c r="G44" s="262">
        <f t="shared" si="3"/>
        <v>1085.7393296167697</v>
      </c>
      <c r="H44" s="258">
        <f t="shared" si="4"/>
        <v>200</v>
      </c>
      <c r="I44" s="259">
        <f t="shared" si="5"/>
        <v>519</v>
      </c>
    </row>
    <row r="45" spans="1:27" s="64" customFormat="1">
      <c r="A45" s="332">
        <f>IF((B45&gt;(Inputs!$B$7+Inputs!$B$8)),0,IF((B45&lt;Inputs!$B$7),0,((B45-Inputs!$B$7))))</f>
        <v>21</v>
      </c>
      <c r="B45" s="7">
        <f t="shared" si="2"/>
        <v>2046</v>
      </c>
      <c r="C45" s="288">
        <f>(Traffic_related_data!Z81*$C$8)</f>
        <v>-9834.3377377608322</v>
      </c>
      <c r="D45" s="289">
        <f t="shared" si="0"/>
        <v>0</v>
      </c>
      <c r="E45" s="275">
        <f>Traffic_related_data!AA81*$C$8</f>
        <v>13710.60544458426</v>
      </c>
      <c r="F45" s="258">
        <f t="shared" si="1"/>
        <v>1085.7393296167697</v>
      </c>
      <c r="G45" s="262">
        <f t="shared" si="3"/>
        <v>1085.7393296167697</v>
      </c>
      <c r="H45" s="258">
        <f t="shared" si="4"/>
        <v>187</v>
      </c>
      <c r="I45" s="259">
        <f t="shared" si="5"/>
        <v>503</v>
      </c>
    </row>
    <row r="46" spans="1:27" s="64" customFormat="1">
      <c r="A46" s="332">
        <f>IF((B46&gt;(Inputs!$B$7+Inputs!$B$8)),0,IF((B46&lt;Inputs!$B$7),0,((B46-Inputs!$B$7))))</f>
        <v>22</v>
      </c>
      <c r="B46" s="7">
        <f t="shared" si="2"/>
        <v>2047</v>
      </c>
      <c r="C46" s="288">
        <f>(Traffic_related_data!Z82*$C$8)</f>
        <v>-9834.3377377608322</v>
      </c>
      <c r="D46" s="289">
        <f t="shared" si="0"/>
        <v>0</v>
      </c>
      <c r="E46" s="275">
        <f>Traffic_related_data!AA82*$C$8</f>
        <v>13710.60544458426</v>
      </c>
      <c r="F46" s="258">
        <f t="shared" si="1"/>
        <v>1085.7393296167697</v>
      </c>
      <c r="G46" s="262">
        <f t="shared" si="3"/>
        <v>1085.7393296167697</v>
      </c>
      <c r="H46" s="258">
        <f t="shared" si="4"/>
        <v>175</v>
      </c>
      <c r="I46" s="259">
        <f t="shared" si="5"/>
        <v>489</v>
      </c>
    </row>
    <row r="47" spans="1:27" s="64" customFormat="1">
      <c r="A47" s="332">
        <f>IF((B47&gt;(Inputs!$B$7+Inputs!$B$8)),0,IF((B47&lt;Inputs!$B$7),0,((B47-Inputs!$B$7))))</f>
        <v>23</v>
      </c>
      <c r="B47" s="7">
        <f t="shared" si="2"/>
        <v>2048</v>
      </c>
      <c r="C47" s="288">
        <f>(Traffic_related_data!Z83*$C$8)</f>
        <v>-9834.3377377608322</v>
      </c>
      <c r="D47" s="289">
        <f t="shared" si="0"/>
        <v>0</v>
      </c>
      <c r="E47" s="275">
        <f>Traffic_related_data!AA83*$C$8</f>
        <v>13710.60544458426</v>
      </c>
      <c r="F47" s="258">
        <f t="shared" si="1"/>
        <v>1085.7393296167697</v>
      </c>
      <c r="G47" s="262">
        <f t="shared" si="3"/>
        <v>1085.7393296167697</v>
      </c>
      <c r="H47" s="258">
        <f t="shared" si="4"/>
        <v>163</v>
      </c>
      <c r="I47" s="259">
        <f t="shared" si="5"/>
        <v>475</v>
      </c>
    </row>
    <row r="48" spans="1:27" s="64" customFormat="1">
      <c r="A48" s="332">
        <f>IF((B48&gt;(Inputs!$B$7+Inputs!$B$8)),0,IF((B48&lt;Inputs!$B$7),0,((B48-Inputs!$B$7))))</f>
        <v>24</v>
      </c>
      <c r="B48" s="7">
        <f t="shared" si="2"/>
        <v>2049</v>
      </c>
      <c r="C48" s="288">
        <f>(Traffic_related_data!Z84*$C$8)</f>
        <v>-9834.3377377608322</v>
      </c>
      <c r="D48" s="289">
        <f t="shared" si="0"/>
        <v>0</v>
      </c>
      <c r="E48" s="275">
        <f>Traffic_related_data!AA84*$C$8</f>
        <v>13710.60544458426</v>
      </c>
      <c r="F48" s="258">
        <f t="shared" si="1"/>
        <v>1085.7393296167697</v>
      </c>
      <c r="G48" s="262">
        <f t="shared" si="3"/>
        <v>1085.7393296167697</v>
      </c>
      <c r="H48" s="258">
        <f t="shared" si="4"/>
        <v>153</v>
      </c>
      <c r="I48" s="259">
        <f t="shared" si="5"/>
        <v>461</v>
      </c>
    </row>
    <row r="49" spans="1:27" s="64" customFormat="1">
      <c r="A49" s="332">
        <f>IF((B49&gt;(Inputs!$B$7+Inputs!$B$8)),0,IF((B49&lt;Inputs!$B$7),0,((B49-Inputs!$B$7))))</f>
        <v>25</v>
      </c>
      <c r="B49" s="7">
        <f t="shared" si="2"/>
        <v>2050</v>
      </c>
      <c r="C49" s="288">
        <f>(Traffic_related_data!Z85*$C$8)</f>
        <v>-9834.3377377608322</v>
      </c>
      <c r="D49" s="289">
        <f t="shared" si="0"/>
        <v>0</v>
      </c>
      <c r="E49" s="275">
        <f>Traffic_related_data!AA85*$C$8</f>
        <v>13710.60544458426</v>
      </c>
      <c r="F49" s="258">
        <f t="shared" si="1"/>
        <v>1085.7393296167697</v>
      </c>
      <c r="G49" s="262">
        <f t="shared" si="3"/>
        <v>1085.7393296167697</v>
      </c>
      <c r="H49" s="258">
        <f t="shared" si="4"/>
        <v>143</v>
      </c>
      <c r="I49" s="259">
        <f t="shared" si="5"/>
        <v>447</v>
      </c>
    </row>
    <row r="50" spans="1:27" s="64" customFormat="1">
      <c r="A50" s="332">
        <f>IF((B50&gt;(Inputs!$B$7+Inputs!$B$8)),0,IF((B50&lt;Inputs!$B$7),0,((B50-Inputs!$B$7))))</f>
        <v>26</v>
      </c>
      <c r="B50" s="7">
        <f t="shared" si="2"/>
        <v>2051</v>
      </c>
      <c r="C50" s="288">
        <f>(Traffic_related_data!Z86*$C$8)</f>
        <v>-9834.3377377608322</v>
      </c>
      <c r="D50" s="289">
        <f t="shared" si="0"/>
        <v>0</v>
      </c>
      <c r="E50" s="275">
        <f>Traffic_related_data!AA86*$C$8</f>
        <v>13710.60544458426</v>
      </c>
      <c r="F50" s="258">
        <f t="shared" si="1"/>
        <v>1085.7393296167697</v>
      </c>
      <c r="G50" s="262">
        <f t="shared" si="3"/>
        <v>1085.7393296167697</v>
      </c>
      <c r="H50" s="258">
        <f t="shared" si="4"/>
        <v>133</v>
      </c>
      <c r="I50" s="259">
        <f t="shared" si="5"/>
        <v>434</v>
      </c>
    </row>
    <row r="51" spans="1:27" s="64" customFormat="1">
      <c r="A51" s="332">
        <f>IF((B51&gt;(Inputs!$B$7+Inputs!$B$8)),0,IF((B51&lt;Inputs!$B$7),0,((B51-Inputs!$B$7))))</f>
        <v>27</v>
      </c>
      <c r="B51" s="7">
        <f t="shared" si="2"/>
        <v>2052</v>
      </c>
      <c r="C51" s="288">
        <f>(Traffic_related_data!Z87*$C$8)</f>
        <v>-9834.3377377608322</v>
      </c>
      <c r="D51" s="289">
        <f t="shared" si="0"/>
        <v>0</v>
      </c>
      <c r="E51" s="275">
        <f>Traffic_related_data!AA87*$C$8</f>
        <v>13710.60544458426</v>
      </c>
      <c r="F51" s="258">
        <f t="shared" si="1"/>
        <v>1085.7393296167697</v>
      </c>
      <c r="G51" s="262">
        <f t="shared" si="3"/>
        <v>1085.7393296167697</v>
      </c>
      <c r="H51" s="258">
        <f t="shared" si="4"/>
        <v>125</v>
      </c>
      <c r="I51" s="259">
        <f t="shared" si="5"/>
        <v>422</v>
      </c>
    </row>
    <row r="52" spans="1:27" s="64" customFormat="1">
      <c r="A52" s="332">
        <f>IF((B52&gt;(Inputs!$B$7+Inputs!$B$8)),0,IF((B52&lt;Inputs!$B$7),0,((B52-Inputs!$B$7))))</f>
        <v>28</v>
      </c>
      <c r="B52" s="7">
        <f t="shared" si="2"/>
        <v>2053</v>
      </c>
      <c r="C52" s="288">
        <f>(Traffic_related_data!Z88*$C$8)</f>
        <v>-9834.3377377608322</v>
      </c>
      <c r="D52" s="289">
        <f t="shared" si="0"/>
        <v>0</v>
      </c>
      <c r="E52" s="275">
        <f>Traffic_related_data!AA88*$C$8</f>
        <v>13710.60544458426</v>
      </c>
      <c r="F52" s="258">
        <f t="shared" si="1"/>
        <v>1085.7393296167697</v>
      </c>
      <c r="G52" s="262">
        <f t="shared" si="3"/>
        <v>1085.7393296167697</v>
      </c>
      <c r="H52" s="258">
        <f t="shared" si="4"/>
        <v>116</v>
      </c>
      <c r="I52" s="259">
        <f t="shared" si="5"/>
        <v>409</v>
      </c>
    </row>
    <row r="53" spans="1:27" s="64" customFormat="1">
      <c r="A53" s="332">
        <f>IF((B53&gt;(Inputs!$B$7+Inputs!$B$8)),0,IF((B53&lt;Inputs!$B$7),0,((B53-Inputs!$B$7))))</f>
        <v>29</v>
      </c>
      <c r="B53" s="7">
        <f t="shared" si="2"/>
        <v>2054</v>
      </c>
      <c r="C53" s="288">
        <f>(Traffic_related_data!Z89*$C$8)</f>
        <v>-9834.3377377608322</v>
      </c>
      <c r="D53" s="289">
        <f t="shared" si="0"/>
        <v>0</v>
      </c>
      <c r="E53" s="275">
        <f>Traffic_related_data!AA89*$C$8</f>
        <v>13710.60544458426</v>
      </c>
      <c r="F53" s="258">
        <f t="shared" si="1"/>
        <v>1085.7393296167697</v>
      </c>
      <c r="G53" s="262">
        <f t="shared" si="3"/>
        <v>1085.7393296167697</v>
      </c>
      <c r="H53" s="258">
        <f t="shared" si="4"/>
        <v>109</v>
      </c>
      <c r="I53" s="259">
        <f t="shared" si="5"/>
        <v>397</v>
      </c>
    </row>
    <row r="54" spans="1:27" s="64" customFormat="1">
      <c r="A54" s="332">
        <f>IF((B54&gt;(Inputs!$B$7+Inputs!$B$8)),0,IF((B54&lt;Inputs!$B$7),0,((B54-Inputs!$B$7))))</f>
        <v>30</v>
      </c>
      <c r="B54" s="7">
        <f t="shared" si="2"/>
        <v>2055</v>
      </c>
      <c r="C54" s="288">
        <f>(Traffic_related_data!Z90*$C$8)</f>
        <v>-9834.3377377608322</v>
      </c>
      <c r="D54" s="289">
        <f t="shared" si="0"/>
        <v>0</v>
      </c>
      <c r="E54" s="275">
        <f>Traffic_related_data!AA90*$C$8</f>
        <v>13710.60544458426</v>
      </c>
      <c r="F54" s="258">
        <f t="shared" si="1"/>
        <v>1085.7393296167697</v>
      </c>
      <c r="G54" s="262">
        <f t="shared" si="3"/>
        <v>1085.7393296167697</v>
      </c>
      <c r="H54" s="258">
        <f t="shared" si="4"/>
        <v>102</v>
      </c>
      <c r="I54" s="259">
        <f t="shared" si="5"/>
        <v>386</v>
      </c>
    </row>
    <row r="55" spans="1:27" s="64" customFormat="1">
      <c r="A55" s="332">
        <f>IF((B55&gt;(Inputs!$B$7+Inputs!$B$8)),0,IF((B55&lt;Inputs!$B$7),0,((B55-Inputs!$B$7))))</f>
        <v>0</v>
      </c>
      <c r="B55" s="7">
        <f t="shared" si="2"/>
        <v>2056</v>
      </c>
      <c r="C55" s="288">
        <f>(Traffic_related_data!Z91*$C$8)</f>
        <v>-9834.3377377608322</v>
      </c>
      <c r="D55" s="289">
        <f t="shared" si="0"/>
        <v>0</v>
      </c>
      <c r="E55" s="275">
        <f>Traffic_related_data!AA91*$C$8</f>
        <v>13710.60544458426</v>
      </c>
      <c r="F55" s="258">
        <f t="shared" si="1"/>
        <v>0</v>
      </c>
      <c r="G55" s="262">
        <f t="shared" si="3"/>
        <v>0</v>
      </c>
      <c r="H55" s="258">
        <f t="shared" si="4"/>
        <v>0</v>
      </c>
      <c r="I55" s="259">
        <f t="shared" si="5"/>
        <v>0</v>
      </c>
    </row>
    <row r="56" spans="1:27" s="64" customFormat="1">
      <c r="A56" s="332">
        <f>IF((B56&gt;(Inputs!$B$7+Inputs!$B$8)),0,IF((B56&lt;Inputs!$B$7),0,((B56-Inputs!$B$7))))</f>
        <v>0</v>
      </c>
      <c r="B56" s="7">
        <f t="shared" si="2"/>
        <v>2057</v>
      </c>
      <c r="C56" s="288">
        <f>(Traffic_related_data!Z92*$C$8)</f>
        <v>-9834.3377377608322</v>
      </c>
      <c r="D56" s="289">
        <f t="shared" si="0"/>
        <v>0</v>
      </c>
      <c r="E56" s="275">
        <f>Traffic_related_data!AA92*$C$8</f>
        <v>13710.60544458426</v>
      </c>
      <c r="F56" s="258">
        <f t="shared" si="1"/>
        <v>0</v>
      </c>
      <c r="G56" s="262">
        <f t="shared" si="3"/>
        <v>0</v>
      </c>
      <c r="H56" s="258">
        <f t="shared" si="4"/>
        <v>0</v>
      </c>
      <c r="I56" s="259">
        <f t="shared" si="5"/>
        <v>0</v>
      </c>
    </row>
    <row r="57" spans="1:27" s="64" customFormat="1">
      <c r="A57" s="332">
        <f>IF((B57&gt;(Inputs!$B$7+Inputs!$B$8)),0,IF((B57&lt;Inputs!$B$7),0,((B57-Inputs!$B$7))))</f>
        <v>0</v>
      </c>
      <c r="B57" s="7">
        <f t="shared" si="2"/>
        <v>2058</v>
      </c>
      <c r="C57" s="288">
        <f>(Traffic_related_data!Z93*$C$8)</f>
        <v>-9834.3377377608322</v>
      </c>
      <c r="D57" s="289">
        <f t="shared" si="0"/>
        <v>0</v>
      </c>
      <c r="E57" s="275">
        <f>Traffic_related_data!AA93*$C$8</f>
        <v>13710.60544458426</v>
      </c>
      <c r="F57" s="258">
        <f t="shared" si="1"/>
        <v>0</v>
      </c>
      <c r="G57" s="262">
        <f t="shared" si="3"/>
        <v>0</v>
      </c>
      <c r="H57" s="258">
        <f t="shared" si="4"/>
        <v>0</v>
      </c>
      <c r="I57" s="259">
        <f t="shared" si="5"/>
        <v>0</v>
      </c>
    </row>
    <row r="58" spans="1:27" s="64" customFormat="1">
      <c r="A58" s="332">
        <f>IF((B58&gt;(Inputs!$B$7+Inputs!$B$8)),0,IF((B58&lt;Inputs!$B$7),0,((B58-Inputs!$B$7))))</f>
        <v>0</v>
      </c>
      <c r="B58" s="7">
        <f t="shared" si="2"/>
        <v>2059</v>
      </c>
      <c r="C58" s="288">
        <f>(Traffic_related_data!Z94*$C$8)</f>
        <v>-9834.3377377608322</v>
      </c>
      <c r="D58" s="289">
        <f t="shared" si="0"/>
        <v>0</v>
      </c>
      <c r="E58" s="275">
        <f>Traffic_related_data!AA94*$C$8</f>
        <v>13710.60544458426</v>
      </c>
      <c r="F58" s="258">
        <f t="shared" si="1"/>
        <v>0</v>
      </c>
      <c r="G58" s="262">
        <f t="shared" si="3"/>
        <v>0</v>
      </c>
      <c r="H58" s="258">
        <f t="shared" si="4"/>
        <v>0</v>
      </c>
      <c r="I58" s="259">
        <f t="shared" si="5"/>
        <v>0</v>
      </c>
    </row>
    <row r="59" spans="1:27" s="64" customFormat="1" ht="15.75" thickBot="1">
      <c r="A59" s="332">
        <f>IF((B59&gt;(Inputs!$B$7+Inputs!$B$8)),0,IF((B59&lt;Inputs!$B$7),0,((B59-Inputs!$B$7))))</f>
        <v>0</v>
      </c>
      <c r="B59" s="7">
        <f t="shared" si="2"/>
        <v>2060</v>
      </c>
      <c r="C59" s="288">
        <f>(Traffic_related_data!Z95*$C$8)</f>
        <v>-9834.3377377608322</v>
      </c>
      <c r="D59" s="289">
        <f t="shared" si="0"/>
        <v>0</v>
      </c>
      <c r="E59" s="276">
        <f>Traffic_related_data!AA95*$C$8</f>
        <v>13710.60544458426</v>
      </c>
      <c r="F59" s="269">
        <f t="shared" si="1"/>
        <v>0</v>
      </c>
      <c r="G59" s="268">
        <f t="shared" si="3"/>
        <v>0</v>
      </c>
      <c r="H59" s="269">
        <f t="shared" si="4"/>
        <v>0</v>
      </c>
      <c r="I59" s="270">
        <f t="shared" si="5"/>
        <v>0</v>
      </c>
    </row>
    <row r="60" spans="1:27">
      <c r="C60" s="64"/>
      <c r="D60" s="64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>
      <c r="C61" s="64"/>
      <c r="D61" s="64"/>
      <c r="G61" s="77">
        <f>SUM(G17:G59)</f>
        <v>13859.93323035601</v>
      </c>
      <c r="H61" s="77">
        <f>SUM(H17:H59)</f>
        <v>1285</v>
      </c>
      <c r="I61" s="77">
        <f>SUM(I17:I59)</f>
        <v>5361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8:27"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8:27"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8:27"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8:27"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8:27"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8:27"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8:27"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8:27"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8:27"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8:27"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8:27"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8:27"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8:27"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8:27"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8:27"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8:27"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0:27"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0:27"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</sheetData>
  <mergeCells count="1">
    <mergeCell ref="F15:G15"/>
  </mergeCells>
  <pageMargins left="0.7" right="0.7" top="0.75" bottom="0.75" header="0.3" footer="0.3"/>
  <pageSetup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5" tint="0.79998168889431442"/>
  </sheetPr>
  <dimension ref="A1:AD139"/>
  <sheetViews>
    <sheetView workbookViewId="0">
      <selection sqref="A1:K1"/>
    </sheetView>
  </sheetViews>
  <sheetFormatPr defaultRowHeight="15"/>
  <cols>
    <col min="1" max="1" width="13.28515625" customWidth="1"/>
    <col min="2" max="2" width="35.5703125" customWidth="1"/>
    <col min="3" max="3" width="15.5703125" style="64" customWidth="1"/>
    <col min="4" max="4" width="17.140625" style="64" customWidth="1"/>
    <col min="5" max="5" width="14.7109375" style="64" customWidth="1"/>
    <col min="6" max="6" width="18.28515625" style="64" customWidth="1"/>
    <col min="7" max="7" width="17.7109375" style="64" customWidth="1"/>
    <col min="8" max="8" width="23.7109375" style="64" customWidth="1"/>
    <col min="9" max="9" width="27.28515625" style="64" customWidth="1"/>
    <col min="10" max="10" width="15.5703125" style="64" customWidth="1"/>
    <col min="11" max="11" width="17.140625" style="64" customWidth="1"/>
    <col min="12" max="12" width="14.7109375" style="64" customWidth="1"/>
    <col min="13" max="13" width="18.28515625" style="64" customWidth="1"/>
    <col min="14" max="14" width="17.7109375" style="64" customWidth="1"/>
    <col min="15" max="15" width="23.7109375" style="64" customWidth="1"/>
    <col min="16" max="16" width="27.28515625" style="64" customWidth="1"/>
    <col min="17" max="17" width="15.5703125" style="64" customWidth="1"/>
    <col min="18" max="18" width="17.140625" style="64" customWidth="1"/>
    <col min="19" max="19" width="14.7109375" style="64" customWidth="1"/>
    <col min="20" max="20" width="18.28515625" style="64" customWidth="1"/>
    <col min="21" max="21" width="17.7109375" style="64" customWidth="1"/>
    <col min="22" max="22" width="23.7109375" style="64" customWidth="1"/>
    <col min="23" max="23" width="27.28515625" style="64" customWidth="1"/>
    <col min="24" max="24" width="15.5703125" style="64" customWidth="1"/>
    <col min="25" max="25" width="17.140625" style="64" customWidth="1"/>
    <col min="26" max="26" width="14.7109375" style="64" customWidth="1"/>
    <col min="27" max="27" width="18.28515625" style="64" customWidth="1"/>
    <col min="28" max="28" width="17.7109375" style="64" customWidth="1"/>
    <col min="29" max="29" width="23.7109375" style="64" customWidth="1"/>
    <col min="30" max="30" width="27.28515625" style="64" customWidth="1"/>
    <col min="31" max="31" width="15.5703125" customWidth="1"/>
    <col min="32" max="32" width="17.140625" customWidth="1"/>
    <col min="33" max="33" width="14.7109375" customWidth="1"/>
    <col min="34" max="34" width="18.28515625" customWidth="1"/>
    <col min="35" max="35" width="17.7109375" customWidth="1"/>
    <col min="36" max="36" width="23.7109375" customWidth="1"/>
    <col min="37" max="37" width="27.28515625" customWidth="1"/>
    <col min="38" max="38" width="15.5703125" customWidth="1"/>
    <col min="39" max="39" width="17.140625" customWidth="1"/>
    <col min="40" max="40" width="14.7109375" customWidth="1"/>
    <col min="41" max="41" width="18.28515625" customWidth="1"/>
    <col min="42" max="42" width="17.7109375" customWidth="1"/>
    <col min="43" max="43" width="23.7109375" customWidth="1"/>
    <col min="44" max="44" width="27.28515625" customWidth="1"/>
    <col min="45" max="45" width="15.5703125" customWidth="1"/>
    <col min="46" max="46" width="17.140625" customWidth="1"/>
    <col min="47" max="47" width="14.7109375" customWidth="1"/>
    <col min="48" max="48" width="18.28515625" customWidth="1"/>
    <col min="49" max="49" width="17.7109375" customWidth="1"/>
    <col min="50" max="50" width="23.7109375" customWidth="1"/>
    <col min="51" max="51" width="27.28515625" customWidth="1"/>
    <col min="52" max="52" width="15.5703125" customWidth="1"/>
    <col min="53" max="53" width="17.140625" customWidth="1"/>
    <col min="54" max="54" width="14.7109375" customWidth="1"/>
    <col min="55" max="55" width="18.28515625" customWidth="1"/>
    <col min="56" max="56" width="17.7109375" customWidth="1"/>
    <col min="57" max="57" width="23.7109375" customWidth="1"/>
    <col min="58" max="58" width="27.28515625" customWidth="1"/>
    <col min="59" max="59" width="15.5703125" customWidth="1"/>
    <col min="60" max="60" width="17.140625" customWidth="1"/>
    <col min="61" max="61" width="14.7109375" customWidth="1"/>
    <col min="62" max="62" width="18.28515625" customWidth="1"/>
    <col min="63" max="63" width="17.7109375" customWidth="1"/>
    <col min="64" max="64" width="23.7109375" customWidth="1"/>
    <col min="65" max="65" width="27.28515625" customWidth="1"/>
    <col min="66" max="66" width="15.5703125" customWidth="1"/>
    <col min="67" max="67" width="17.140625" customWidth="1"/>
    <col min="68" max="68" width="14.7109375" customWidth="1"/>
    <col min="69" max="69" width="18.28515625" customWidth="1"/>
    <col min="70" max="70" width="17.7109375" customWidth="1"/>
    <col min="71" max="71" width="23.7109375" customWidth="1"/>
    <col min="72" max="72" width="27.28515625" customWidth="1"/>
    <col min="73" max="73" width="15.5703125" customWidth="1"/>
    <col min="74" max="74" width="17.140625" customWidth="1"/>
    <col min="75" max="75" width="14.7109375" customWidth="1"/>
    <col min="76" max="76" width="18.28515625" customWidth="1"/>
    <col min="77" max="77" width="17.7109375" customWidth="1"/>
    <col min="78" max="78" width="23.7109375" customWidth="1"/>
    <col min="79" max="79" width="27.28515625" customWidth="1"/>
    <col min="80" max="80" width="15.5703125" customWidth="1"/>
    <col min="81" max="81" width="17.140625" customWidth="1"/>
    <col min="82" max="82" width="14.7109375" customWidth="1"/>
    <col min="83" max="83" width="18.28515625" customWidth="1"/>
    <col min="84" max="84" width="17.7109375" customWidth="1"/>
    <col min="85" max="85" width="23.7109375" customWidth="1"/>
    <col min="86" max="86" width="27.28515625" customWidth="1"/>
    <col min="87" max="87" width="15.5703125" customWidth="1"/>
    <col min="88" max="88" width="17.140625" customWidth="1"/>
    <col min="89" max="89" width="14.7109375" customWidth="1"/>
    <col min="90" max="90" width="18.28515625" customWidth="1"/>
    <col min="91" max="91" width="17.7109375" customWidth="1"/>
    <col min="92" max="92" width="23.7109375" customWidth="1"/>
    <col min="93" max="93" width="27.28515625" customWidth="1"/>
  </cols>
  <sheetData>
    <row r="1" spans="1:30">
      <c r="A1" s="205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>
      <c r="B2" s="16" t="s">
        <v>160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>
      <c r="B3" s="8" t="s">
        <v>445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>
      <c r="B4" s="69" t="s">
        <v>161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>
      <c r="B5" s="69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>
      <c r="B6" s="74" t="s">
        <v>162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>
      <c r="B7" s="69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ht="26.25">
      <c r="B8" s="99" t="s">
        <v>232</v>
      </c>
      <c r="C8" s="98">
        <f>Inputs!B29</f>
        <v>1.1029999999999998E-2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1:30" ht="26.25">
      <c r="B9" s="99" t="s">
        <v>234</v>
      </c>
      <c r="C9" s="98">
        <f>Inputs!B31</f>
        <v>4.6241153846153842E-2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1:30">
      <c r="B10" s="64" t="s">
        <v>4</v>
      </c>
      <c r="C10" s="64">
        <f>Inputs!B10</f>
        <v>2020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30" s="64" customFormat="1" ht="15.75" thickBot="1">
      <c r="A13" s="332"/>
      <c r="D13" s="675" t="s">
        <v>486</v>
      </c>
      <c r="E13" s="675"/>
      <c r="F13" s="675"/>
      <c r="G13" s="675"/>
      <c r="H13" s="2">
        <f>Inputs!$B$3</f>
        <v>7.0000000000000007E-2</v>
      </c>
      <c r="I13" s="2">
        <f>Inputs!$B$4</f>
        <v>0.03</v>
      </c>
    </row>
    <row r="14" spans="1:30" s="64" customFormat="1" ht="60">
      <c r="A14" s="75" t="s">
        <v>147</v>
      </c>
      <c r="B14" s="75" t="s">
        <v>0</v>
      </c>
      <c r="C14" s="271" t="s">
        <v>155</v>
      </c>
      <c r="D14" s="272" t="s">
        <v>163</v>
      </c>
      <c r="E14" s="272" t="s">
        <v>157</v>
      </c>
      <c r="F14" s="272" t="s">
        <v>164</v>
      </c>
      <c r="G14" s="272" t="s">
        <v>165</v>
      </c>
      <c r="H14" s="272" t="s">
        <v>168</v>
      </c>
      <c r="I14" s="132" t="s">
        <v>169</v>
      </c>
    </row>
    <row r="15" spans="1:30">
      <c r="A15" s="332">
        <f>IF((B15&gt;(Inputs!$B$7+Inputs!$B$8)),0,IF((B15&lt;Inputs!$B$7),0,((B15-Inputs!$B$7))))</f>
        <v>0</v>
      </c>
      <c r="B15" s="255">
        <v>2018</v>
      </c>
      <c r="C15" s="290"/>
      <c r="D15" s="125"/>
      <c r="E15" s="261"/>
      <c r="F15" s="125"/>
      <c r="G15" s="125"/>
      <c r="H15" s="125"/>
      <c r="I15" s="274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>
      <c r="A16" s="332">
        <f>IF((B16&gt;(Inputs!$B$7+Inputs!$B$8)),0,IF((B16&lt;Inputs!$B$7),0,((B16-Inputs!$B$7))))</f>
        <v>0</v>
      </c>
      <c r="B16" s="255">
        <f>B15+1</f>
        <v>2019</v>
      </c>
      <c r="C16" s="290">
        <f>Traffic_related_data!Z54*Inputs!$B$14</f>
        <v>-36232.12317152883</v>
      </c>
      <c r="D16" s="257">
        <f t="shared" ref="D16:D57" si="0">IF(($A16&gt;0),(C16*$C$8),0)</f>
        <v>0</v>
      </c>
      <c r="E16" s="261">
        <f>Traffic_related_data!AA54*Inputs!$B$14</f>
        <v>-1964.8085334476234</v>
      </c>
      <c r="F16" s="257">
        <f t="shared" ref="F16:F57" si="1">IF(($A16&gt;0),(E16*$C$9),0)</f>
        <v>0</v>
      </c>
      <c r="G16" s="291">
        <f>D16+F16</f>
        <v>0</v>
      </c>
      <c r="H16" s="257">
        <f>ROUND(G16/((1+H$13)^($B16-$C$10)),0)</f>
        <v>0</v>
      </c>
      <c r="I16" s="292">
        <f t="shared" ref="I16:I57" si="2">ROUND(G16/((1+I$13)^($B16-$C$10)),0)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>
      <c r="A17" s="332">
        <f>IF((B17&gt;(Inputs!$B$7+Inputs!$B$8)),0,IF((B17&lt;Inputs!$B$7),0,((B17-Inputs!$B$7))))</f>
        <v>0</v>
      </c>
      <c r="B17" s="255">
        <f t="shared" ref="B17:B57" si="3">B16+1</f>
        <v>2020</v>
      </c>
      <c r="C17" s="290">
        <f>Traffic_related_data!Z55*Inputs!$B$14</f>
        <v>4568.076746804627</v>
      </c>
      <c r="D17" s="257">
        <f t="shared" si="0"/>
        <v>0</v>
      </c>
      <c r="E17" s="261">
        <f>Traffic_related_data!AA55</f>
        <v>0.44447028720898674</v>
      </c>
      <c r="F17" s="257">
        <f t="shared" si="1"/>
        <v>0</v>
      </c>
      <c r="G17" s="291">
        <f t="shared" ref="G17:G57" si="4">D17+F17</f>
        <v>0</v>
      </c>
      <c r="H17" s="257">
        <f t="shared" ref="H17:H57" si="5">ROUND(G17/((1+H$13)^($B17-$C$10)),0)</f>
        <v>0</v>
      </c>
      <c r="I17" s="292">
        <f t="shared" si="2"/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>
      <c r="A18" s="332">
        <f>IF((B18&gt;(Inputs!$B$7+Inputs!$B$8)),0,IF((B18&lt;Inputs!$B$7),0,((B18-Inputs!$B$7))))</f>
        <v>0</v>
      </c>
      <c r="B18" s="255">
        <f t="shared" si="3"/>
        <v>2021</v>
      </c>
      <c r="C18" s="290">
        <f>Traffic_related_data!Z56*Inputs!$B$14</f>
        <v>-2464.0301805414497</v>
      </c>
      <c r="D18" s="257">
        <f t="shared" si="0"/>
        <v>0</v>
      </c>
      <c r="E18" s="261">
        <f>Traffic_related_data!AA56</f>
        <v>-6.4273301214219103</v>
      </c>
      <c r="F18" s="257">
        <f t="shared" si="1"/>
        <v>0</v>
      </c>
      <c r="G18" s="291">
        <f t="shared" si="4"/>
        <v>0</v>
      </c>
      <c r="H18" s="257">
        <f t="shared" si="5"/>
        <v>0</v>
      </c>
      <c r="I18" s="292">
        <f t="shared" si="2"/>
        <v>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>
      <c r="A19" s="332">
        <f>IF((B19&gt;(Inputs!$B$7+Inputs!$B$8)),0,IF((B19&lt;Inputs!$B$7),0,((B19-Inputs!$B$7))))</f>
        <v>0</v>
      </c>
      <c r="B19" s="255">
        <f t="shared" si="3"/>
        <v>2022</v>
      </c>
      <c r="C19" s="290">
        <f>Traffic_related_data!Z57*Inputs!$B$14</f>
        <v>-9495.5505657091235</v>
      </c>
      <c r="D19" s="257">
        <f t="shared" si="0"/>
        <v>0</v>
      </c>
      <c r="E19" s="261">
        <f>Traffic_related_data!AA57</f>
        <v>-13.298426810076705</v>
      </c>
      <c r="F19" s="257">
        <f t="shared" si="1"/>
        <v>0</v>
      </c>
      <c r="G19" s="291">
        <f t="shared" si="4"/>
        <v>0</v>
      </c>
      <c r="H19" s="257">
        <f t="shared" si="5"/>
        <v>0</v>
      </c>
      <c r="I19" s="292">
        <f t="shared" si="2"/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>
      <c r="A20" s="332">
        <f>IF((B20&gt;(Inputs!$B$7+Inputs!$B$8)),0,IF((B20&lt;Inputs!$B$7),0,((B20-Inputs!$B$7))))</f>
        <v>0</v>
      </c>
      <c r="B20" s="255">
        <f t="shared" si="3"/>
        <v>2023</v>
      </c>
      <c r="C20" s="290">
        <f>Traffic_related_data!Z58*Inputs!$B$14</f>
        <v>-16526.503895096434</v>
      </c>
      <c r="D20" s="257">
        <f t="shared" si="0"/>
        <v>0</v>
      </c>
      <c r="E20" s="261">
        <f>Traffic_related_data!AA58</f>
        <v>-20.168842882457195</v>
      </c>
      <c r="F20" s="257">
        <f t="shared" si="1"/>
        <v>0</v>
      </c>
      <c r="G20" s="291">
        <f t="shared" si="4"/>
        <v>0</v>
      </c>
      <c r="H20" s="257">
        <f t="shared" si="5"/>
        <v>0</v>
      </c>
      <c r="I20" s="292">
        <f t="shared" si="2"/>
        <v>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>
      <c r="A21" s="332">
        <f>IF((B21&gt;(Inputs!$B$7+Inputs!$B$8)),0,IF((B21&lt;Inputs!$B$7),0,((B21-Inputs!$B$7))))</f>
        <v>0</v>
      </c>
      <c r="B21" s="255">
        <f t="shared" si="3"/>
        <v>2024</v>
      </c>
      <c r="C21" s="290">
        <f>Traffic_related_data!Z59*Inputs!$B$14</f>
        <v>-23556.908801377725</v>
      </c>
      <c r="D21" s="257">
        <f t="shared" si="0"/>
        <v>0</v>
      </c>
      <c r="E21" s="261">
        <f>Traffic_related_data!AA59</f>
        <v>-27.038600441861504</v>
      </c>
      <c r="F21" s="257">
        <f t="shared" si="1"/>
        <v>0</v>
      </c>
      <c r="G21" s="291">
        <f t="shared" si="4"/>
        <v>0</v>
      </c>
      <c r="H21" s="257">
        <f t="shared" si="5"/>
        <v>0</v>
      </c>
      <c r="I21" s="292">
        <f t="shared" si="2"/>
        <v>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>
      <c r="A22" s="332">
        <f>IF((B22&gt;(Inputs!$B$7+Inputs!$B$8)),0,IF((B22&lt;Inputs!$B$7),0,((B22-Inputs!$B$7))))</f>
        <v>0</v>
      </c>
      <c r="B22" s="255">
        <f t="shared" si="3"/>
        <v>2025</v>
      </c>
      <c r="C22" s="290">
        <f>Traffic_related_data!Z60*Inputs!$B$14</f>
        <v>-30586.783109731707</v>
      </c>
      <c r="D22" s="257">
        <f t="shared" si="0"/>
        <v>0</v>
      </c>
      <c r="E22" s="261">
        <f>Traffic_related_data!AA60</f>
        <v>-33.907720644741708</v>
      </c>
      <c r="F22" s="257">
        <f t="shared" si="1"/>
        <v>0</v>
      </c>
      <c r="G22" s="291">
        <f t="shared" si="4"/>
        <v>0</v>
      </c>
      <c r="H22" s="257">
        <f t="shared" si="5"/>
        <v>0</v>
      </c>
      <c r="I22" s="292">
        <f t="shared" si="2"/>
        <v>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>
      <c r="A23" s="332">
        <f>IF((B23&gt;(Inputs!$B$7+Inputs!$B$8)),0,IF((B23&lt;Inputs!$B$7),0,((B23-Inputs!$B$7))))</f>
        <v>1</v>
      </c>
      <c r="B23" s="255">
        <f t="shared" si="3"/>
        <v>2026</v>
      </c>
      <c r="C23" s="290">
        <f>Traffic_related_data!Z61*Inputs!$B$14</f>
        <v>-24626.172510037824</v>
      </c>
      <c r="D23" s="257">
        <f t="shared" si="0"/>
        <v>-271.62668278571715</v>
      </c>
      <c r="E23" s="261">
        <f>Traffic_related_data!AA61</f>
        <v>-26.017442803351706</v>
      </c>
      <c r="F23" s="257">
        <f t="shared" si="1"/>
        <v>-1.2030765753532944</v>
      </c>
      <c r="G23" s="291">
        <f t="shared" si="4"/>
        <v>-272.82975936107044</v>
      </c>
      <c r="H23" s="257">
        <f t="shared" si="5"/>
        <v>-182</v>
      </c>
      <c r="I23" s="292">
        <f t="shared" si="2"/>
        <v>-228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>
      <c r="A24" s="332">
        <f>IF((B24&gt;(Inputs!$B$7+Inputs!$B$8)),0,IF((B24&lt;Inputs!$B$7),0,((B24-Inputs!$B$7))))</f>
        <v>2</v>
      </c>
      <c r="B24" s="255">
        <f t="shared" si="3"/>
        <v>2027</v>
      </c>
      <c r="C24" s="290">
        <f>Traffic_related_data!Z62*Inputs!$B$14</f>
        <v>-18665.429477909387</v>
      </c>
      <c r="D24" s="257">
        <f t="shared" si="0"/>
        <v>-205.8796871413405</v>
      </c>
      <c r="E24" s="261">
        <f>Traffic_related_data!AA62</f>
        <v>-18.131691724666371</v>
      </c>
      <c r="F24" s="257">
        <f t="shared" si="1"/>
        <v>-0.83843034653133219</v>
      </c>
      <c r="G24" s="291">
        <f t="shared" si="4"/>
        <v>-206.71811748787184</v>
      </c>
      <c r="H24" s="257">
        <f t="shared" si="5"/>
        <v>-129</v>
      </c>
      <c r="I24" s="292">
        <f t="shared" si="2"/>
        <v>-168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>
      <c r="A25" s="332">
        <f>IF((B25&gt;(Inputs!$B$7+Inputs!$B$8)),0,IF((B25&lt;Inputs!$B$7),0,((B25-Inputs!$B$7))))</f>
        <v>3</v>
      </c>
      <c r="B25" s="255">
        <f t="shared" si="3"/>
        <v>2028</v>
      </c>
      <c r="C25" s="290">
        <f>Traffic_related_data!Z63*Inputs!$B$14</f>
        <v>-12704.558418723669</v>
      </c>
      <c r="D25" s="257">
        <f t="shared" si="0"/>
        <v>-140.13127935852205</v>
      </c>
      <c r="E25" s="261">
        <f>Traffic_related_data!AA63</f>
        <v>-10.250303697760195</v>
      </c>
      <c r="F25" s="257">
        <f t="shared" si="1"/>
        <v>-0.47398587025792877</v>
      </c>
      <c r="G25" s="291">
        <f t="shared" si="4"/>
        <v>-140.60526522877998</v>
      </c>
      <c r="H25" s="257">
        <f t="shared" si="5"/>
        <v>-82</v>
      </c>
      <c r="I25" s="292">
        <f t="shared" si="2"/>
        <v>-111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>
      <c r="A26" s="332">
        <f>IF((B26&gt;(Inputs!$B$7+Inputs!$B$8)),0,IF((B26&lt;Inputs!$B$7),0,((B26-Inputs!$B$7))))</f>
        <v>4</v>
      </c>
      <c r="B26" s="255">
        <f t="shared" si="3"/>
        <v>2029</v>
      </c>
      <c r="C26" s="290">
        <f>Traffic_related_data!Z64*Inputs!$B$14</f>
        <v>-6743.5635446503384</v>
      </c>
      <c r="D26" s="257">
        <f t="shared" si="0"/>
        <v>-74.381505897493213</v>
      </c>
      <c r="E26" s="261">
        <f>Traffic_related_data!AA64</f>
        <v>-2.3731227091195839</v>
      </c>
      <c r="F26" s="257">
        <f t="shared" si="1"/>
        <v>-0.10973593228820007</v>
      </c>
      <c r="G26" s="291">
        <f t="shared" si="4"/>
        <v>-74.491241829781416</v>
      </c>
      <c r="H26" s="257">
        <f t="shared" si="5"/>
        <v>-41</v>
      </c>
      <c r="I26" s="292">
        <f t="shared" si="2"/>
        <v>-57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>
      <c r="A27" s="332">
        <f>IF((B27&gt;(Inputs!$B$7+Inputs!$B$8)),0,IF((B27&lt;Inputs!$B$7),0,((B27-Inputs!$B$7))))</f>
        <v>5</v>
      </c>
      <c r="B27" s="255">
        <f t="shared" si="3"/>
        <v>2030</v>
      </c>
      <c r="C27" s="290">
        <f>Traffic_related_data!Z65*Inputs!$B$14</f>
        <v>-782.44888505153654</v>
      </c>
      <c r="D27" s="257">
        <f t="shared" si="0"/>
        <v>-8.6304112021184469</v>
      </c>
      <c r="E27" s="261">
        <f>Traffic_related_data!AA65</f>
        <v>5.4999999999991047</v>
      </c>
      <c r="F27" s="257">
        <f t="shared" si="1"/>
        <v>0.25432634615380473</v>
      </c>
      <c r="G27" s="291">
        <f t="shared" si="4"/>
        <v>-8.3760848559646419</v>
      </c>
      <c r="H27" s="257">
        <f t="shared" si="5"/>
        <v>-4</v>
      </c>
      <c r="I27" s="292">
        <f t="shared" si="2"/>
        <v>-6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0">
      <c r="A28" s="332">
        <f>IF((B28&gt;(Inputs!$B$7+Inputs!$B$8)),0,IF((B28&lt;Inputs!$B$7),0,((B28-Inputs!$B$7))))</f>
        <v>6</v>
      </c>
      <c r="B28" s="255">
        <f t="shared" si="3"/>
        <v>2031</v>
      </c>
      <c r="C28" s="290">
        <f>Traffic_related_data!Z66*Inputs!$B$14</f>
        <v>-904.25765859331875</v>
      </c>
      <c r="D28" s="257">
        <f t="shared" si="0"/>
        <v>-9.973961974284304</v>
      </c>
      <c r="E28" s="261">
        <f>Traffic_related_data!AA66</f>
        <v>-3.4899982188677292E-2</v>
      </c>
      <c r="F28" s="257">
        <f t="shared" si="1"/>
        <v>-1.6138154456146556E-3</v>
      </c>
      <c r="G28" s="291">
        <f t="shared" si="4"/>
        <v>-9.975575789729918</v>
      </c>
      <c r="H28" s="257">
        <f t="shared" si="5"/>
        <v>-5</v>
      </c>
      <c r="I28" s="292">
        <f t="shared" si="2"/>
        <v>-7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>
      <c r="A29" s="332">
        <f>IF((B29&gt;(Inputs!$B$7+Inputs!$B$8)),0,IF((B29&lt;Inputs!$B$7),0,((B29-Inputs!$B$7))))</f>
        <v>7</v>
      </c>
      <c r="B29" s="255">
        <f t="shared" si="3"/>
        <v>2032</v>
      </c>
      <c r="C29" s="290">
        <f>Traffic_related_data!Z67*Inputs!$B$14</f>
        <v>-1052.1597302091157</v>
      </c>
      <c r="D29" s="257">
        <f t="shared" si="0"/>
        <v>-11.605321824206543</v>
      </c>
      <c r="E29" s="261">
        <f>Traffic_related_data!AA67</f>
        <v>-5.7879363011441018</v>
      </c>
      <c r="F29" s="257">
        <f t="shared" si="1"/>
        <v>-0.26764085295294304</v>
      </c>
      <c r="G29" s="291">
        <f t="shared" si="4"/>
        <v>-11.872962677159485</v>
      </c>
      <c r="H29" s="257">
        <f t="shared" si="5"/>
        <v>-5</v>
      </c>
      <c r="I29" s="292">
        <f t="shared" si="2"/>
        <v>-8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0">
      <c r="A30" s="332">
        <f>IF((B30&gt;(Inputs!$B$7+Inputs!$B$8)),0,IF((B30&lt;Inputs!$B$7),0,((B30-Inputs!$B$7))))</f>
        <v>8</v>
      </c>
      <c r="B30" s="255">
        <f t="shared" si="3"/>
        <v>2033</v>
      </c>
      <c r="C30" s="290">
        <f>Traffic_related_data!Z68*Inputs!$B$14</f>
        <v>-1225.0283452751769</v>
      </c>
      <c r="D30" s="257">
        <f t="shared" si="0"/>
        <v>-13.512062648385198</v>
      </c>
      <c r="E30" s="261">
        <f>Traffic_related_data!AA68</f>
        <v>-11.754348634590915</v>
      </c>
      <c r="F30" s="257">
        <f t="shared" si="1"/>
        <v>-0.54353464357344683</v>
      </c>
      <c r="G30" s="291">
        <f t="shared" si="4"/>
        <v>-14.055597291958644</v>
      </c>
      <c r="H30" s="257">
        <f t="shared" si="5"/>
        <v>-6</v>
      </c>
      <c r="I30" s="292">
        <f t="shared" si="2"/>
        <v>-10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>
      <c r="A31" s="332">
        <f>IF((B31&gt;(Inputs!$B$7+Inputs!$B$8)),0,IF((B31&lt;Inputs!$B$7),0,((B31-Inputs!$B$7))))</f>
        <v>9</v>
      </c>
      <c r="B31" s="255">
        <f t="shared" si="3"/>
        <v>2034</v>
      </c>
      <c r="C31" s="290">
        <f>Traffic_related_data!Z69*Inputs!$B$14</f>
        <v>-1421.8007040434034</v>
      </c>
      <c r="D31" s="257">
        <f t="shared" si="0"/>
        <v>-15.682461765598736</v>
      </c>
      <c r="E31" s="261">
        <f>Traffic_related_data!AA69</f>
        <v>-17.929515215963356</v>
      </c>
      <c r="F31" s="257">
        <f t="shared" si="1"/>
        <v>-0.82908147148831779</v>
      </c>
      <c r="G31" s="291">
        <f t="shared" si="4"/>
        <v>-16.511543237087054</v>
      </c>
      <c r="H31" s="257">
        <f t="shared" si="5"/>
        <v>-6</v>
      </c>
      <c r="I31" s="292">
        <f t="shared" si="2"/>
        <v>-11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>
      <c r="A32" s="332">
        <f>IF((B32&gt;(Inputs!$B$7+Inputs!$B$8)),0,IF((B32&lt;Inputs!$B$7),0,((B32-Inputs!$B$7))))</f>
        <v>10</v>
      </c>
      <c r="B32" s="255">
        <f t="shared" si="3"/>
        <v>2035</v>
      </c>
      <c r="C32" s="290">
        <f>Traffic_related_data!Z70*Inputs!$B$14</f>
        <v>-1641.4734874151154</v>
      </c>
      <c r="D32" s="257">
        <f t="shared" si="0"/>
        <v>-18.10545256618872</v>
      </c>
      <c r="E32" s="261">
        <f>Traffic_related_data!AA70</f>
        <v>-24.308947792873855</v>
      </c>
      <c r="F32" s="257">
        <f t="shared" si="1"/>
        <v>-1.1240737947284019</v>
      </c>
      <c r="G32" s="291">
        <f t="shared" si="4"/>
        <v>-19.229526360917124</v>
      </c>
      <c r="H32" s="257">
        <f t="shared" si="5"/>
        <v>-7</v>
      </c>
      <c r="I32" s="292">
        <f t="shared" si="2"/>
        <v>-12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</row>
    <row r="33" spans="1:30">
      <c r="A33" s="332">
        <f>IF((B33&gt;(Inputs!$B$7+Inputs!$B$8)),0,IF((B33&lt;Inputs!$B$7),0,((B33-Inputs!$B$7))))</f>
        <v>11</v>
      </c>
      <c r="B33" s="255">
        <f t="shared" si="3"/>
        <v>2036</v>
      </c>
      <c r="C33" s="290">
        <f>Traffic_related_data!Z71*Inputs!$B$14</f>
        <v>-1815.3499791312968</v>
      </c>
      <c r="D33" s="257">
        <f t="shared" si="0"/>
        <v>-20.0233102698182</v>
      </c>
      <c r="E33" s="261">
        <f>Traffic_related_data!AA71</f>
        <v>-13.46288387698042</v>
      </c>
      <c r="F33" s="257">
        <f t="shared" si="1"/>
        <v>-0.62253928456835572</v>
      </c>
      <c r="G33" s="291">
        <f t="shared" si="4"/>
        <v>-20.645849554386555</v>
      </c>
      <c r="H33" s="257">
        <f t="shared" si="5"/>
        <v>-7</v>
      </c>
      <c r="I33" s="292">
        <f t="shared" si="2"/>
        <v>-13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</row>
    <row r="34" spans="1:30">
      <c r="A34" s="332">
        <f>IF((B34&gt;(Inputs!$B$7+Inputs!$B$8)),0,IF((B34&lt;Inputs!$B$7),0,((B34-Inputs!$B$7))))</f>
        <v>12</v>
      </c>
      <c r="B34" s="255">
        <f t="shared" si="3"/>
        <v>2037</v>
      </c>
      <c r="C34" s="290">
        <f>Traffic_related_data!Z72*Inputs!$B$14</f>
        <v>-1989.1647977719749</v>
      </c>
      <c r="D34" s="257">
        <f t="shared" si="0"/>
        <v>-21.94048771942488</v>
      </c>
      <c r="E34" s="261">
        <f>Traffic_related_data!AA72</f>
        <v>-2.6330915179825976</v>
      </c>
      <c r="F34" s="257">
        <f t="shared" si="1"/>
        <v>-0.12175718997403605</v>
      </c>
      <c r="G34" s="291">
        <f t="shared" si="4"/>
        <v>-22.062244909398917</v>
      </c>
      <c r="H34" s="257">
        <f t="shared" si="5"/>
        <v>-7</v>
      </c>
      <c r="I34" s="292">
        <f t="shared" si="2"/>
        <v>-13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>
      <c r="A35" s="332">
        <f>IF((B35&gt;(Inputs!$B$7+Inputs!$B$8)),0,IF((B35&lt;Inputs!$B$7),0,((B35-Inputs!$B$7))))</f>
        <v>13</v>
      </c>
      <c r="B35" s="255">
        <f t="shared" si="3"/>
        <v>2038</v>
      </c>
      <c r="C35" s="290">
        <f>Traffic_related_data!Z73*Inputs!$B$14</f>
        <v>-2162.9200002125476</v>
      </c>
      <c r="D35" s="257">
        <f t="shared" si="0"/>
        <v>-23.857007602344396</v>
      </c>
      <c r="E35" s="261">
        <f>Traffic_related_data!AA73</f>
        <v>8.1810166276665885</v>
      </c>
      <c r="F35" s="257">
        <f t="shared" si="1"/>
        <v>0.3782996484978734</v>
      </c>
      <c r="G35" s="291">
        <f t="shared" si="4"/>
        <v>-23.478707953846524</v>
      </c>
      <c r="H35" s="257">
        <f t="shared" si="5"/>
        <v>-7</v>
      </c>
      <c r="I35" s="292">
        <f t="shared" si="2"/>
        <v>-14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>
      <c r="A36" s="332">
        <f>IF((B36&gt;(Inputs!$B$7+Inputs!$B$8)),0,IF((B36&lt;Inputs!$B$7),0,((B36-Inputs!$B$7))))</f>
        <v>14</v>
      </c>
      <c r="B36" s="255">
        <f t="shared" si="3"/>
        <v>2039</v>
      </c>
      <c r="C36" s="290">
        <f>Traffic_related_data!Z74*Inputs!$B$14</f>
        <v>-2336.6175528616623</v>
      </c>
      <c r="D36" s="257">
        <f t="shared" si="0"/>
        <v>-25.772891608064132</v>
      </c>
      <c r="E36" s="261">
        <f>Traffic_related_data!AA74</f>
        <v>18.980000000000135</v>
      </c>
      <c r="F36" s="257">
        <f t="shared" si="1"/>
        <v>0.87765710000000619</v>
      </c>
      <c r="G36" s="291">
        <f t="shared" si="4"/>
        <v>-24.895234508064124</v>
      </c>
      <c r="H36" s="257">
        <f t="shared" si="5"/>
        <v>-7</v>
      </c>
      <c r="I36" s="292">
        <f t="shared" si="2"/>
        <v>-14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>
      <c r="A37" s="332">
        <f>IF((B37&gt;(Inputs!$B$7+Inputs!$B$8)),0,IF((B37&lt;Inputs!$B$7),0,((B37-Inputs!$B$7))))</f>
        <v>15</v>
      </c>
      <c r="B37" s="255">
        <f t="shared" si="3"/>
        <v>2040</v>
      </c>
      <c r="C37" s="290">
        <f>Traffic_related_data!Z75*Inputs!$B$14</f>
        <v>-2510.2593365889174</v>
      </c>
      <c r="D37" s="257">
        <f t="shared" si="0"/>
        <v>-27.688160482575753</v>
      </c>
      <c r="E37" s="261">
        <f>Traffic_related_data!AA75</f>
        <v>29.764391771753125</v>
      </c>
      <c r="F37" s="257">
        <f t="shared" si="1"/>
        <v>1.3763398190548317</v>
      </c>
      <c r="G37" s="291">
        <f t="shared" si="4"/>
        <v>-26.311820663520923</v>
      </c>
      <c r="H37" s="257">
        <f t="shared" si="5"/>
        <v>-7</v>
      </c>
      <c r="I37" s="292">
        <f t="shared" si="2"/>
        <v>-15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>
      <c r="A38" s="332">
        <f>IF((B38&gt;(Inputs!$B$7+Inputs!$B$8)),0,IF((B38&lt;Inputs!$B$7),0,((B38-Inputs!$B$7))))</f>
        <v>16</v>
      </c>
      <c r="B38" s="255">
        <f t="shared" si="3"/>
        <v>2041</v>
      </c>
      <c r="C38" s="290">
        <f>Traffic_related_data!Z76*Inputs!$B$14</f>
        <v>-3975.4830311945984</v>
      </c>
      <c r="D38" s="257">
        <f t="shared" si="0"/>
        <v>-43.849577834076413</v>
      </c>
      <c r="E38" s="261">
        <f>Traffic_related_data!AA76</f>
        <v>32.95391567405408</v>
      </c>
      <c r="F38" s="257">
        <f t="shared" si="1"/>
        <v>1.5238270845171151</v>
      </c>
      <c r="G38" s="291">
        <f t="shared" si="4"/>
        <v>-42.325750749559298</v>
      </c>
      <c r="H38" s="257">
        <f t="shared" si="5"/>
        <v>-10</v>
      </c>
      <c r="I38" s="292">
        <f t="shared" si="2"/>
        <v>-23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>
      <c r="A39" s="332">
        <f>IF((B39&gt;(Inputs!$B$7+Inputs!$B$8)),0,IF((B39&lt;Inputs!$B$7),0,((B39-Inputs!$B$7))))</f>
        <v>17</v>
      </c>
      <c r="B39" s="255">
        <f t="shared" si="3"/>
        <v>2042</v>
      </c>
      <c r="C39" s="290">
        <f>Traffic_related_data!Z77*Inputs!$B$14</f>
        <v>-5440.4956864624437</v>
      </c>
      <c r="D39" s="257">
        <f t="shared" si="0"/>
        <v>-60.008667421680741</v>
      </c>
      <c r="E39" s="261">
        <f>Traffic_related_data!AA77</f>
        <v>36.142407351559029</v>
      </c>
      <c r="F39" s="257">
        <f t="shared" si="1"/>
        <v>1.6712666187138028</v>
      </c>
      <c r="G39" s="291">
        <f t="shared" si="4"/>
        <v>-58.33740080296694</v>
      </c>
      <c r="H39" s="257">
        <f t="shared" si="5"/>
        <v>-13</v>
      </c>
      <c r="I39" s="292">
        <f t="shared" si="2"/>
        <v>-30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s="64" customFormat="1">
      <c r="A40" s="332">
        <f>IF((B40&gt;(Inputs!$B$7+Inputs!$B$8)),0,IF((B40&lt;Inputs!$B$7),0,((B40-Inputs!$B$7))))</f>
        <v>18</v>
      </c>
      <c r="B40" s="255">
        <f t="shared" si="3"/>
        <v>2043</v>
      </c>
      <c r="C40" s="290">
        <f>Traffic_related_data!Z78*Inputs!$B$14</f>
        <v>-6905.3044943043888</v>
      </c>
      <c r="D40" s="257">
        <f t="shared" si="0"/>
        <v>-76.165508572177401</v>
      </c>
      <c r="E40" s="261">
        <f>Traffic_related_data!AA78</f>
        <v>39.329900430397799</v>
      </c>
      <c r="F40" s="257">
        <f t="shared" si="1"/>
        <v>1.8186599765559368</v>
      </c>
      <c r="G40" s="291">
        <f t="shared" si="4"/>
        <v>-74.346848595621466</v>
      </c>
      <c r="H40" s="257">
        <f t="shared" si="5"/>
        <v>-16</v>
      </c>
      <c r="I40" s="292">
        <f t="shared" si="2"/>
        <v>-38</v>
      </c>
    </row>
    <row r="41" spans="1:30" s="64" customFormat="1">
      <c r="A41" s="332">
        <f>IF((B41&gt;(Inputs!$B$7+Inputs!$B$8)),0,IF((B41&lt;Inputs!$B$7),0,((B41-Inputs!$B$7))))</f>
        <v>19</v>
      </c>
      <c r="B41" s="255">
        <f t="shared" si="3"/>
        <v>2044</v>
      </c>
      <c r="C41" s="290">
        <f>Traffic_related_data!Z79*Inputs!$B$14</f>
        <v>-8369.916323542282</v>
      </c>
      <c r="D41" s="257">
        <f t="shared" si="0"/>
        <v>-92.320177048671354</v>
      </c>
      <c r="E41" s="261">
        <f>Traffic_related_data!AA79</f>
        <v>42.516427091743651</v>
      </c>
      <c r="F41" s="257">
        <f t="shared" si="1"/>
        <v>1.9660086461381012</v>
      </c>
      <c r="G41" s="291">
        <f t="shared" si="4"/>
        <v>-90.354168402533247</v>
      </c>
      <c r="H41" s="257">
        <f t="shared" si="5"/>
        <v>-18</v>
      </c>
      <c r="I41" s="292">
        <f t="shared" si="2"/>
        <v>-44</v>
      </c>
    </row>
    <row r="42" spans="1:30" s="64" customFormat="1">
      <c r="A42" s="332">
        <f>IF((B42&gt;(Inputs!$B$7+Inputs!$B$8)),0,IF((B42&lt;Inputs!$B$7),0,((B42-Inputs!$B$7))))</f>
        <v>20</v>
      </c>
      <c r="B42" s="255">
        <f t="shared" si="3"/>
        <v>2045</v>
      </c>
      <c r="C42" s="290">
        <f>Traffic_related_data!Z80*Inputs!$B$14</f>
        <v>-9834.3377377608322</v>
      </c>
      <c r="D42" s="257">
        <f t="shared" si="0"/>
        <v>-108.47274524750196</v>
      </c>
      <c r="E42" s="261">
        <f>Traffic_related_data!AA80</f>
        <v>45.702018148614201</v>
      </c>
      <c r="F42" s="257">
        <f t="shared" si="1"/>
        <v>2.1133140522897844</v>
      </c>
      <c r="G42" s="291">
        <f t="shared" si="4"/>
        <v>-106.35943119521218</v>
      </c>
      <c r="H42" s="257">
        <f t="shared" si="5"/>
        <v>-20</v>
      </c>
      <c r="I42" s="292">
        <f t="shared" si="2"/>
        <v>-51</v>
      </c>
    </row>
    <row r="43" spans="1:30" s="64" customFormat="1">
      <c r="A43" s="332">
        <f>IF((B43&gt;(Inputs!$B$7+Inputs!$B$8)),0,IF((B43&lt;Inputs!$B$7),0,((B43-Inputs!$B$7))))</f>
        <v>21</v>
      </c>
      <c r="B43" s="255">
        <f t="shared" si="3"/>
        <v>2046</v>
      </c>
      <c r="C43" s="290">
        <f>Traffic_related_data!Z81*Inputs!$B$14</f>
        <v>-9834.3377377608322</v>
      </c>
      <c r="D43" s="257">
        <f t="shared" si="0"/>
        <v>-108.47274524750196</v>
      </c>
      <c r="E43" s="261">
        <f>Traffic_related_data!AA81</f>
        <v>45.702018148614201</v>
      </c>
      <c r="F43" s="257">
        <f t="shared" si="1"/>
        <v>2.1133140522897844</v>
      </c>
      <c r="G43" s="291">
        <f t="shared" si="4"/>
        <v>-106.35943119521218</v>
      </c>
      <c r="H43" s="257">
        <f t="shared" si="5"/>
        <v>-18</v>
      </c>
      <c r="I43" s="292">
        <f t="shared" si="2"/>
        <v>-49</v>
      </c>
    </row>
    <row r="44" spans="1:30" s="64" customFormat="1">
      <c r="A44" s="332">
        <f>IF((B44&gt;(Inputs!$B$7+Inputs!$B$8)),0,IF((B44&lt;Inputs!$B$7),0,((B44-Inputs!$B$7))))</f>
        <v>22</v>
      </c>
      <c r="B44" s="255">
        <f t="shared" si="3"/>
        <v>2047</v>
      </c>
      <c r="C44" s="290">
        <f>Traffic_related_data!Z82*Inputs!$B$14</f>
        <v>-9834.3377377608322</v>
      </c>
      <c r="D44" s="257">
        <f t="shared" si="0"/>
        <v>-108.47274524750196</v>
      </c>
      <c r="E44" s="261">
        <f>Traffic_related_data!AA82</f>
        <v>45.702018148614201</v>
      </c>
      <c r="F44" s="257">
        <f t="shared" si="1"/>
        <v>2.1133140522897844</v>
      </c>
      <c r="G44" s="291">
        <f t="shared" si="4"/>
        <v>-106.35943119521218</v>
      </c>
      <c r="H44" s="257">
        <f t="shared" si="5"/>
        <v>-17</v>
      </c>
      <c r="I44" s="292">
        <f t="shared" si="2"/>
        <v>-48</v>
      </c>
    </row>
    <row r="45" spans="1:30" s="64" customFormat="1">
      <c r="A45" s="332">
        <f>IF((B45&gt;(Inputs!$B$7+Inputs!$B$8)),0,IF((B45&lt;Inputs!$B$7),0,((B45-Inputs!$B$7))))</f>
        <v>23</v>
      </c>
      <c r="B45" s="255">
        <f t="shared" si="3"/>
        <v>2048</v>
      </c>
      <c r="C45" s="290">
        <f>Traffic_related_data!Z83*Inputs!$B$14</f>
        <v>-9834.3377377608322</v>
      </c>
      <c r="D45" s="257">
        <f t="shared" si="0"/>
        <v>-108.47274524750196</v>
      </c>
      <c r="E45" s="261">
        <f>Traffic_related_data!AA83</f>
        <v>45.702018148614201</v>
      </c>
      <c r="F45" s="257">
        <f t="shared" si="1"/>
        <v>2.1133140522897844</v>
      </c>
      <c r="G45" s="291">
        <f t="shared" si="4"/>
        <v>-106.35943119521218</v>
      </c>
      <c r="H45" s="257">
        <f t="shared" si="5"/>
        <v>-16</v>
      </c>
      <c r="I45" s="292">
        <f t="shared" si="2"/>
        <v>-46</v>
      </c>
    </row>
    <row r="46" spans="1:30" s="64" customFormat="1">
      <c r="A46" s="332">
        <f>IF((B46&gt;(Inputs!$B$7+Inputs!$B$8)),0,IF((B46&lt;Inputs!$B$7),0,((B46-Inputs!$B$7))))</f>
        <v>24</v>
      </c>
      <c r="B46" s="255">
        <f t="shared" si="3"/>
        <v>2049</v>
      </c>
      <c r="C46" s="290">
        <f>Traffic_related_data!Z84*Inputs!$B$14</f>
        <v>-9834.3377377608322</v>
      </c>
      <c r="D46" s="257">
        <f t="shared" si="0"/>
        <v>-108.47274524750196</v>
      </c>
      <c r="E46" s="261">
        <f>Traffic_related_data!AA84</f>
        <v>45.702018148614201</v>
      </c>
      <c r="F46" s="257">
        <f t="shared" si="1"/>
        <v>2.1133140522897844</v>
      </c>
      <c r="G46" s="291">
        <f t="shared" si="4"/>
        <v>-106.35943119521218</v>
      </c>
      <c r="H46" s="257">
        <f t="shared" si="5"/>
        <v>-15</v>
      </c>
      <c r="I46" s="292">
        <f t="shared" si="2"/>
        <v>-45</v>
      </c>
    </row>
    <row r="47" spans="1:30" s="64" customFormat="1">
      <c r="A47" s="332">
        <f>IF((B47&gt;(Inputs!$B$7+Inputs!$B$8)),0,IF((B47&lt;Inputs!$B$7),0,((B47-Inputs!$B$7))))</f>
        <v>25</v>
      </c>
      <c r="B47" s="255">
        <f t="shared" si="3"/>
        <v>2050</v>
      </c>
      <c r="C47" s="290">
        <f>Traffic_related_data!Z85*Inputs!$B$14</f>
        <v>-9834.3377377608322</v>
      </c>
      <c r="D47" s="257">
        <f t="shared" si="0"/>
        <v>-108.47274524750196</v>
      </c>
      <c r="E47" s="261">
        <f>Traffic_related_data!AA85</f>
        <v>45.702018148614201</v>
      </c>
      <c r="F47" s="257">
        <f t="shared" si="1"/>
        <v>2.1133140522897844</v>
      </c>
      <c r="G47" s="291">
        <f t="shared" si="4"/>
        <v>-106.35943119521218</v>
      </c>
      <c r="H47" s="257">
        <f t="shared" si="5"/>
        <v>-14</v>
      </c>
      <c r="I47" s="292">
        <f t="shared" si="2"/>
        <v>-44</v>
      </c>
    </row>
    <row r="48" spans="1:30" s="64" customFormat="1">
      <c r="A48" s="332">
        <f>IF((B48&gt;(Inputs!$B$7+Inputs!$B$8)),0,IF((B48&lt;Inputs!$B$7),0,((B48-Inputs!$B$7))))</f>
        <v>26</v>
      </c>
      <c r="B48" s="255">
        <f t="shared" si="3"/>
        <v>2051</v>
      </c>
      <c r="C48" s="290">
        <f>Traffic_related_data!Z86*Inputs!$B$14</f>
        <v>-9834.3377377608322</v>
      </c>
      <c r="D48" s="257">
        <f t="shared" si="0"/>
        <v>-108.47274524750196</v>
      </c>
      <c r="E48" s="261">
        <f>Traffic_related_data!AA86</f>
        <v>45.702018148614201</v>
      </c>
      <c r="F48" s="257">
        <f t="shared" si="1"/>
        <v>2.1133140522897844</v>
      </c>
      <c r="G48" s="291">
        <f t="shared" si="4"/>
        <v>-106.35943119521218</v>
      </c>
      <c r="H48" s="257">
        <f t="shared" si="5"/>
        <v>-13</v>
      </c>
      <c r="I48" s="292">
        <f t="shared" si="2"/>
        <v>-43</v>
      </c>
    </row>
    <row r="49" spans="1:30" s="64" customFormat="1">
      <c r="A49" s="332">
        <f>IF((B49&gt;(Inputs!$B$7+Inputs!$B$8)),0,IF((B49&lt;Inputs!$B$7),0,((B49-Inputs!$B$7))))</f>
        <v>27</v>
      </c>
      <c r="B49" s="255">
        <f t="shared" si="3"/>
        <v>2052</v>
      </c>
      <c r="C49" s="290">
        <f>Traffic_related_data!Z87*Inputs!$B$14</f>
        <v>-9834.3377377608322</v>
      </c>
      <c r="D49" s="257">
        <f t="shared" si="0"/>
        <v>-108.47274524750196</v>
      </c>
      <c r="E49" s="261">
        <f>Traffic_related_data!AA87</f>
        <v>45.702018148614201</v>
      </c>
      <c r="F49" s="257">
        <f t="shared" si="1"/>
        <v>2.1133140522897844</v>
      </c>
      <c r="G49" s="291">
        <f t="shared" si="4"/>
        <v>-106.35943119521218</v>
      </c>
      <c r="H49" s="257">
        <f t="shared" si="5"/>
        <v>-12</v>
      </c>
      <c r="I49" s="292">
        <f t="shared" si="2"/>
        <v>-41</v>
      </c>
    </row>
    <row r="50" spans="1:30" s="64" customFormat="1">
      <c r="A50" s="332">
        <f>IF((B50&gt;(Inputs!$B$7+Inputs!$B$8)),0,IF((B50&lt;Inputs!$B$7),0,((B50-Inputs!$B$7))))</f>
        <v>28</v>
      </c>
      <c r="B50" s="255">
        <f t="shared" si="3"/>
        <v>2053</v>
      </c>
      <c r="C50" s="290">
        <f>Traffic_related_data!Z88*Inputs!$B$14</f>
        <v>-9834.3377377608322</v>
      </c>
      <c r="D50" s="257">
        <f t="shared" si="0"/>
        <v>-108.47274524750196</v>
      </c>
      <c r="E50" s="261">
        <f>Traffic_related_data!AA88</f>
        <v>45.702018148614201</v>
      </c>
      <c r="F50" s="257">
        <f t="shared" si="1"/>
        <v>2.1133140522897844</v>
      </c>
      <c r="G50" s="291">
        <f t="shared" si="4"/>
        <v>-106.35943119521218</v>
      </c>
      <c r="H50" s="257">
        <f t="shared" si="5"/>
        <v>-11</v>
      </c>
      <c r="I50" s="292">
        <f t="shared" si="2"/>
        <v>-40</v>
      </c>
    </row>
    <row r="51" spans="1:30" s="64" customFormat="1">
      <c r="A51" s="332">
        <f>IF((B51&gt;(Inputs!$B$7+Inputs!$B$8)),0,IF((B51&lt;Inputs!$B$7),0,((B51-Inputs!$B$7))))</f>
        <v>29</v>
      </c>
      <c r="B51" s="255">
        <f t="shared" si="3"/>
        <v>2054</v>
      </c>
      <c r="C51" s="290">
        <f>Traffic_related_data!Z89*Inputs!$B$14</f>
        <v>-9834.3377377608322</v>
      </c>
      <c r="D51" s="257">
        <f t="shared" si="0"/>
        <v>-108.47274524750196</v>
      </c>
      <c r="E51" s="261">
        <f>Traffic_related_data!AA89</f>
        <v>45.702018148614201</v>
      </c>
      <c r="F51" s="257">
        <f t="shared" si="1"/>
        <v>2.1133140522897844</v>
      </c>
      <c r="G51" s="291">
        <f t="shared" si="4"/>
        <v>-106.35943119521218</v>
      </c>
      <c r="H51" s="257">
        <f t="shared" si="5"/>
        <v>-11</v>
      </c>
      <c r="I51" s="292">
        <f t="shared" si="2"/>
        <v>-39</v>
      </c>
    </row>
    <row r="52" spans="1:30" s="64" customFormat="1">
      <c r="A52" s="332">
        <f>IF((B52&gt;(Inputs!$B$7+Inputs!$B$8)),0,IF((B52&lt;Inputs!$B$7),0,((B52-Inputs!$B$7))))</f>
        <v>30</v>
      </c>
      <c r="B52" s="255">
        <f t="shared" si="3"/>
        <v>2055</v>
      </c>
      <c r="C52" s="290">
        <f>Traffic_related_data!Z90*Inputs!$B$14</f>
        <v>-9834.3377377608322</v>
      </c>
      <c r="D52" s="257">
        <f t="shared" si="0"/>
        <v>-108.47274524750196</v>
      </c>
      <c r="E52" s="261">
        <f>Traffic_related_data!AA90</f>
        <v>45.702018148614201</v>
      </c>
      <c r="F52" s="257">
        <f t="shared" si="1"/>
        <v>2.1133140522897844</v>
      </c>
      <c r="G52" s="291">
        <f t="shared" si="4"/>
        <v>-106.35943119521218</v>
      </c>
      <c r="H52" s="257">
        <f t="shared" si="5"/>
        <v>-10</v>
      </c>
      <c r="I52" s="292">
        <f t="shared" si="2"/>
        <v>-38</v>
      </c>
    </row>
    <row r="53" spans="1:30" s="64" customFormat="1">
      <c r="A53" s="332">
        <f>IF((B53&gt;(Inputs!$B$7+Inputs!$B$8)),0,IF((B53&lt;Inputs!$B$7),0,((B53-Inputs!$B$7))))</f>
        <v>0</v>
      </c>
      <c r="B53" s="255">
        <f t="shared" si="3"/>
        <v>2056</v>
      </c>
      <c r="C53" s="290">
        <f>Traffic_related_data!Z91*Inputs!$B$14</f>
        <v>-9834.3377377608322</v>
      </c>
      <c r="D53" s="257">
        <f t="shared" si="0"/>
        <v>0</v>
      </c>
      <c r="E53" s="261">
        <f>Traffic_related_data!AA91</f>
        <v>45.702018148614201</v>
      </c>
      <c r="F53" s="257">
        <f t="shared" si="1"/>
        <v>0</v>
      </c>
      <c r="G53" s="291">
        <f t="shared" si="4"/>
        <v>0</v>
      </c>
      <c r="H53" s="257">
        <f t="shared" si="5"/>
        <v>0</v>
      </c>
      <c r="I53" s="292">
        <f t="shared" si="2"/>
        <v>0</v>
      </c>
    </row>
    <row r="54" spans="1:30" s="64" customFormat="1">
      <c r="A54" s="332">
        <f>IF((B54&gt;(Inputs!$B$7+Inputs!$B$8)),0,IF((B54&lt;Inputs!$B$7),0,((B54-Inputs!$B$7))))</f>
        <v>0</v>
      </c>
      <c r="B54" s="255">
        <f t="shared" si="3"/>
        <v>2057</v>
      </c>
      <c r="C54" s="290">
        <f>Traffic_related_data!Z92*Inputs!$B$14</f>
        <v>-9834.3377377608322</v>
      </c>
      <c r="D54" s="257">
        <f t="shared" si="0"/>
        <v>0</v>
      </c>
      <c r="E54" s="261">
        <f>Traffic_related_data!AA92</f>
        <v>45.702018148614201</v>
      </c>
      <c r="F54" s="257">
        <f t="shared" si="1"/>
        <v>0</v>
      </c>
      <c r="G54" s="291">
        <f t="shared" si="4"/>
        <v>0</v>
      </c>
      <c r="H54" s="257">
        <f t="shared" si="5"/>
        <v>0</v>
      </c>
      <c r="I54" s="292">
        <f t="shared" si="2"/>
        <v>0</v>
      </c>
    </row>
    <row r="55" spans="1:30" s="64" customFormat="1">
      <c r="A55" s="332">
        <f>IF((B55&gt;(Inputs!$B$7+Inputs!$B$8)),0,IF((B55&lt;Inputs!$B$7),0,((B55-Inputs!$B$7))))</f>
        <v>0</v>
      </c>
      <c r="B55" s="255">
        <f t="shared" si="3"/>
        <v>2058</v>
      </c>
      <c r="C55" s="290">
        <f>Traffic_related_data!Z93*Inputs!$B$14</f>
        <v>-9834.3377377608322</v>
      </c>
      <c r="D55" s="257">
        <f t="shared" si="0"/>
        <v>0</v>
      </c>
      <c r="E55" s="261">
        <f>Traffic_related_data!AA93</f>
        <v>45.702018148614201</v>
      </c>
      <c r="F55" s="257">
        <f t="shared" si="1"/>
        <v>0</v>
      </c>
      <c r="G55" s="291">
        <f t="shared" si="4"/>
        <v>0</v>
      </c>
      <c r="H55" s="257">
        <f t="shared" si="5"/>
        <v>0</v>
      </c>
      <c r="I55" s="292">
        <f t="shared" si="2"/>
        <v>0</v>
      </c>
    </row>
    <row r="56" spans="1:30" s="64" customFormat="1">
      <c r="A56" s="332">
        <f>IF((B56&gt;(Inputs!$B$7+Inputs!$B$8)),0,IF((B56&lt;Inputs!$B$7),0,((B56-Inputs!$B$7))))</f>
        <v>0</v>
      </c>
      <c r="B56" s="255">
        <f t="shared" si="3"/>
        <v>2059</v>
      </c>
      <c r="C56" s="290">
        <f>Traffic_related_data!Z94*Inputs!$B$14</f>
        <v>-9834.3377377608322</v>
      </c>
      <c r="D56" s="257">
        <f t="shared" si="0"/>
        <v>0</v>
      </c>
      <c r="E56" s="261">
        <f>Traffic_related_data!AA94</f>
        <v>45.702018148614201</v>
      </c>
      <c r="F56" s="257">
        <f t="shared" si="1"/>
        <v>0</v>
      </c>
      <c r="G56" s="291">
        <f t="shared" si="4"/>
        <v>0</v>
      </c>
      <c r="H56" s="257">
        <f t="shared" si="5"/>
        <v>0</v>
      </c>
      <c r="I56" s="292">
        <f t="shared" si="2"/>
        <v>0</v>
      </c>
    </row>
    <row r="57" spans="1:30" s="64" customFormat="1" ht="15.75" thickBot="1">
      <c r="A57" s="332">
        <f>IF((B57&gt;(Inputs!$B$7+Inputs!$B$8)),0,IF((B57&lt;Inputs!$B$7),0,((B57-Inputs!$B$7))))</f>
        <v>0</v>
      </c>
      <c r="B57" s="255">
        <f t="shared" si="3"/>
        <v>2060</v>
      </c>
      <c r="C57" s="293">
        <f>Traffic_related_data!Z95*Inputs!$B$14</f>
        <v>-9834.3377377608322</v>
      </c>
      <c r="D57" s="294">
        <f t="shared" si="0"/>
        <v>0</v>
      </c>
      <c r="E57" s="267">
        <f>Traffic_related_data!AA95</f>
        <v>45.702018148614201</v>
      </c>
      <c r="F57" s="294">
        <f t="shared" si="1"/>
        <v>0</v>
      </c>
      <c r="G57" s="295">
        <f t="shared" si="4"/>
        <v>0</v>
      </c>
      <c r="H57" s="294">
        <f t="shared" si="5"/>
        <v>0</v>
      </c>
      <c r="I57" s="296">
        <f t="shared" si="2"/>
        <v>0</v>
      </c>
    </row>
    <row r="58" spans="1:30"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>
      <c r="G59" s="77">
        <f>SUM(G15:G57)</f>
        <v>-2327.3774434075526</v>
      </c>
      <c r="H59" s="77">
        <f>SUM(H15:H57)</f>
        <v>-716</v>
      </c>
      <c r="I59" s="77">
        <f>SUM(I15:I57)</f>
        <v>-1306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0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0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0:30"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0:30"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0:30"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0:30"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0:30"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0:30"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0:30"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0:30"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0:30"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0:30"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0:30"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0:30"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0:30"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0:30"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  <row r="79" spans="10:30"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0:30"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</row>
    <row r="81" spans="10:30"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0:30"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0:30"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</row>
    <row r="84" spans="10:30"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0:30"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0:30"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0:30"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0:30"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0:30"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0:30"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0:30"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0:30"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0:30"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0:30"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0:30"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0:30"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0:30"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0:30"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</row>
    <row r="99" spans="10:30"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0:30"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</row>
    <row r="101" spans="10:30"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</row>
    <row r="102" spans="10:30"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0:30"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0:30"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</row>
    <row r="105" spans="10:30"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</row>
    <row r="106" spans="10:30"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</row>
    <row r="107" spans="10:30"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0:30"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0:30"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0:30"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0:30"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0:30"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0:30"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0:30"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0:30"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0:30"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</row>
    <row r="117" spans="10:30"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</row>
    <row r="118" spans="10:30"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</row>
    <row r="119" spans="10:30"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</row>
    <row r="120" spans="10:30"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</row>
    <row r="121" spans="10:30"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0:30"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</row>
    <row r="123" spans="10:30"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</row>
    <row r="124" spans="10:30"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</row>
    <row r="125" spans="10:30"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</row>
    <row r="126" spans="10:30"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</row>
    <row r="127" spans="10:30"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</row>
    <row r="128" spans="10:30"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</row>
    <row r="129" spans="10:30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</row>
    <row r="130" spans="10:30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</row>
    <row r="131" spans="10:30"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</row>
    <row r="132" spans="10:30"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</row>
    <row r="133" spans="10:30"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</row>
    <row r="134" spans="10:30"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</row>
    <row r="135" spans="10:30"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</row>
    <row r="136" spans="10:30"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</row>
    <row r="137" spans="10:30"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</row>
    <row r="138" spans="10:30"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</row>
    <row r="139" spans="10:30"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</row>
  </sheetData>
  <mergeCells count="1">
    <mergeCell ref="D13:G1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5" tint="0.79998168889431442"/>
  </sheetPr>
  <dimension ref="A1:Y79"/>
  <sheetViews>
    <sheetView topLeftCell="A34" zoomScale="90" zoomScaleNormal="90" workbookViewId="0">
      <selection sqref="A1:K1"/>
    </sheetView>
  </sheetViews>
  <sheetFormatPr defaultRowHeight="15"/>
  <cols>
    <col min="2" max="2" width="19.85546875" customWidth="1"/>
    <col min="3" max="3" width="15.7109375" customWidth="1"/>
    <col min="4" max="4" width="17.28515625" customWidth="1"/>
    <col min="5" max="5" width="17.42578125" customWidth="1"/>
    <col min="6" max="6" width="16.5703125" customWidth="1"/>
    <col min="7" max="7" width="16.28515625" customWidth="1"/>
    <col min="8" max="8" width="15.7109375" customWidth="1"/>
    <col min="9" max="9" width="16.42578125" customWidth="1"/>
    <col min="10" max="10" width="17.7109375" customWidth="1"/>
    <col min="11" max="11" width="17.28515625" customWidth="1"/>
    <col min="12" max="12" width="16.7109375" customWidth="1"/>
    <col min="13" max="13" width="16.7109375" style="64" customWidth="1"/>
    <col min="14" max="15" width="17.28515625" customWidth="1"/>
    <col min="16" max="16" width="16.7109375" customWidth="1"/>
    <col min="17" max="18" width="17.28515625" customWidth="1"/>
    <col min="19" max="20" width="12.85546875" customWidth="1"/>
    <col min="21" max="21" width="15.140625" customWidth="1"/>
    <col min="22" max="23" width="14.140625" customWidth="1"/>
    <col min="24" max="24" width="15.7109375" customWidth="1"/>
    <col min="25" max="25" width="13.42578125" customWidth="1"/>
  </cols>
  <sheetData>
    <row r="1" spans="1:20">
      <c r="A1" s="205"/>
    </row>
    <row r="2" spans="1:20" s="64" customFormat="1">
      <c r="B2" s="16" t="s">
        <v>173</v>
      </c>
    </row>
    <row r="3" spans="1:20" s="64" customFormat="1">
      <c r="B3" s="8" t="s">
        <v>192</v>
      </c>
    </row>
    <row r="4" spans="1:20" s="64" customFormat="1">
      <c r="B4" s="69" t="s">
        <v>174</v>
      </c>
    </row>
    <row r="5" spans="1:20" s="64" customFormat="1">
      <c r="B5" s="69"/>
    </row>
    <row r="6" spans="1:20" s="64" customFormat="1">
      <c r="B6" s="74" t="s">
        <v>162</v>
      </c>
    </row>
    <row r="7" spans="1:20" s="64" customFormat="1">
      <c r="B7" s="69"/>
    </row>
    <row r="8" spans="1:20" s="64" customFormat="1"/>
    <row r="9" spans="1:20" s="64" customFormat="1"/>
    <row r="10" spans="1:20" s="64" customFormat="1">
      <c r="F10" s="64" t="s">
        <v>175</v>
      </c>
    </row>
    <row r="11" spans="1:20" s="64" customFormat="1">
      <c r="C11" s="72"/>
      <c r="F11" s="91">
        <v>907185</v>
      </c>
      <c r="G11" s="92" t="s">
        <v>176</v>
      </c>
      <c r="I11" s="97"/>
    </row>
    <row r="12" spans="1:20" s="64" customFormat="1">
      <c r="C12" s="76"/>
      <c r="F12" s="92">
        <v>1000000</v>
      </c>
      <c r="G12" s="92" t="s">
        <v>177</v>
      </c>
    </row>
    <row r="13" spans="1:20" s="64" customFormat="1">
      <c r="C13" s="76"/>
    </row>
    <row r="14" spans="1:20" s="64" customFormat="1">
      <c r="B14" s="109" t="s">
        <v>178</v>
      </c>
      <c r="C14" s="65"/>
      <c r="F14" s="16" t="s">
        <v>193</v>
      </c>
      <c r="G14" s="8"/>
      <c r="H14" s="8"/>
      <c r="I14" s="8"/>
      <c r="J14" s="8"/>
      <c r="K14" s="8"/>
      <c r="N14" s="16" t="s">
        <v>243</v>
      </c>
    </row>
    <row r="15" spans="1:20" s="64" customFormat="1" ht="25.5">
      <c r="B15" s="110" t="s">
        <v>179</v>
      </c>
      <c r="C15" s="111" t="s">
        <v>180</v>
      </c>
      <c r="F15" s="87" t="s">
        <v>181</v>
      </c>
      <c r="G15" s="87" t="s">
        <v>182</v>
      </c>
      <c r="H15" s="87" t="s">
        <v>195</v>
      </c>
      <c r="I15" s="87" t="s">
        <v>183</v>
      </c>
      <c r="J15" s="87" t="s">
        <v>184</v>
      </c>
      <c r="K15" s="88" t="s">
        <v>185</v>
      </c>
      <c r="N15" s="65" t="s">
        <v>194</v>
      </c>
      <c r="O15" s="65" t="s">
        <v>184</v>
      </c>
      <c r="P15" s="65" t="s">
        <v>195</v>
      </c>
      <c r="Q15" s="65" t="s">
        <v>183</v>
      </c>
      <c r="R15" s="65" t="s">
        <v>196</v>
      </c>
      <c r="S15" s="68" t="s">
        <v>244</v>
      </c>
      <c r="T15" s="68" t="s">
        <v>185</v>
      </c>
    </row>
    <row r="16" spans="1:20" s="64" customFormat="1" ht="25.5">
      <c r="B16" s="112" t="s">
        <v>186</v>
      </c>
      <c r="C16" s="113">
        <f>Inputs!B39</f>
        <v>2100</v>
      </c>
      <c r="F16" s="89">
        <v>2015</v>
      </c>
      <c r="G16" s="86">
        <v>16.77</v>
      </c>
      <c r="H16" s="86">
        <v>0.91</v>
      </c>
      <c r="I16" s="86">
        <v>0.01</v>
      </c>
      <c r="J16" s="86">
        <v>0.6</v>
      </c>
      <c r="K16" s="86">
        <v>532</v>
      </c>
      <c r="N16" s="65">
        <v>2012</v>
      </c>
      <c r="O16" s="65">
        <v>0.15</v>
      </c>
      <c r="P16" s="65">
        <v>3.48</v>
      </c>
      <c r="Q16" s="65">
        <v>0.16</v>
      </c>
      <c r="R16" s="65">
        <v>0.16</v>
      </c>
      <c r="S16" s="68">
        <v>5.7000000000000002E-3</v>
      </c>
      <c r="T16" s="68">
        <v>754.44</v>
      </c>
    </row>
    <row r="17" spans="1:25" s="64" customFormat="1">
      <c r="B17" s="112" t="s">
        <v>187</v>
      </c>
      <c r="C17" s="113">
        <f>Inputs!B40</f>
        <v>8600</v>
      </c>
      <c r="F17" s="89">
        <v>2025</v>
      </c>
      <c r="G17" s="86">
        <v>11.46</v>
      </c>
      <c r="H17" s="86">
        <v>0.28000000000000003</v>
      </c>
      <c r="I17" s="86">
        <v>0.01</v>
      </c>
      <c r="J17" s="86">
        <v>0.27</v>
      </c>
      <c r="K17" s="86">
        <v>434</v>
      </c>
      <c r="N17" s="65">
        <v>2015</v>
      </c>
      <c r="O17" s="65">
        <v>0.11</v>
      </c>
      <c r="P17" s="65">
        <v>2.37</v>
      </c>
      <c r="Q17" s="65">
        <v>0.1</v>
      </c>
      <c r="R17" s="65">
        <v>0.1</v>
      </c>
      <c r="S17" s="68">
        <v>5.4999999999999997E-3</v>
      </c>
      <c r="T17" s="68">
        <v>751.78</v>
      </c>
    </row>
    <row r="18" spans="1:25" s="64" customFormat="1">
      <c r="B18" s="112" t="s">
        <v>188</v>
      </c>
      <c r="C18" s="113">
        <f>Inputs!B41</f>
        <v>387300</v>
      </c>
      <c r="F18" s="89">
        <v>2035</v>
      </c>
      <c r="G18" s="86">
        <v>10.26</v>
      </c>
      <c r="H18" s="86">
        <v>0.2</v>
      </c>
      <c r="I18" s="86">
        <v>0.01</v>
      </c>
      <c r="J18" s="86">
        <v>0.21</v>
      </c>
      <c r="K18" s="86">
        <v>397</v>
      </c>
      <c r="N18" s="65">
        <v>2020</v>
      </c>
      <c r="O18" s="65">
        <v>0.06</v>
      </c>
      <c r="P18" s="65">
        <v>1.31</v>
      </c>
      <c r="Q18" s="65">
        <v>0.05</v>
      </c>
      <c r="R18" s="65">
        <v>0.05</v>
      </c>
      <c r="S18" s="68">
        <v>5.3E-3</v>
      </c>
      <c r="T18" s="68">
        <v>750.92</v>
      </c>
    </row>
    <row r="19" spans="1:25" s="64" customFormat="1">
      <c r="B19" s="112" t="s">
        <v>189</v>
      </c>
      <c r="C19" s="113">
        <f>Inputs!B42</f>
        <v>50100</v>
      </c>
      <c r="F19" s="8" t="s">
        <v>190</v>
      </c>
      <c r="N19" s="124"/>
      <c r="O19" s="125"/>
      <c r="P19" s="125"/>
      <c r="Q19" s="125"/>
      <c r="R19" s="125"/>
      <c r="S19" s="125"/>
      <c r="T19" s="125"/>
    </row>
    <row r="20" spans="1:25" s="64" customFormat="1">
      <c r="F20" s="8" t="s">
        <v>191</v>
      </c>
      <c r="N20" s="119" t="s">
        <v>247</v>
      </c>
    </row>
    <row r="21" spans="1:25" s="64" customFormat="1" ht="25.5">
      <c r="B21" s="114" t="s">
        <v>250</v>
      </c>
      <c r="C21" s="111" t="s">
        <v>259</v>
      </c>
      <c r="N21" s="116" t="s">
        <v>245</v>
      </c>
      <c r="O21" s="117"/>
    </row>
    <row r="22" spans="1:25" s="64" customFormat="1">
      <c r="B22" s="64">
        <v>2020</v>
      </c>
      <c r="C22" s="79">
        <f>Inputs!B65</f>
        <v>1</v>
      </c>
      <c r="N22" s="118" t="s">
        <v>246</v>
      </c>
      <c r="O22" s="117"/>
    </row>
    <row r="23" spans="1:25">
      <c r="B23">
        <v>2025</v>
      </c>
      <c r="C23" s="79">
        <f>Inputs!B66</f>
        <v>1</v>
      </c>
    </row>
    <row r="24" spans="1:25">
      <c r="B24">
        <v>2030</v>
      </c>
      <c r="C24" s="79">
        <f>Inputs!B67</f>
        <v>1</v>
      </c>
    </row>
    <row r="25" spans="1:25">
      <c r="B25">
        <v>2035</v>
      </c>
      <c r="C25" s="79">
        <f>Inputs!B68</f>
        <v>2</v>
      </c>
    </row>
    <row r="26" spans="1:25">
      <c r="B26">
        <v>2040</v>
      </c>
      <c r="C26" s="79">
        <f>Inputs!B69</f>
        <v>2</v>
      </c>
    </row>
    <row r="27" spans="1:25">
      <c r="B27">
        <v>2045</v>
      </c>
      <c r="C27" s="79">
        <f>Inputs!B70</f>
        <v>2</v>
      </c>
    </row>
    <row r="28" spans="1:25">
      <c r="B28">
        <v>2050</v>
      </c>
      <c r="C28" s="79">
        <f>Inputs!B71</f>
        <v>2</v>
      </c>
    </row>
    <row r="29" spans="1:25">
      <c r="B29" s="23" t="s">
        <v>251</v>
      </c>
    </row>
    <row r="31" spans="1:25">
      <c r="B31" s="90" t="s">
        <v>4</v>
      </c>
      <c r="C31" s="64">
        <f>Inputs!B10</f>
        <v>2020</v>
      </c>
    </row>
    <row r="32" spans="1: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</row>
    <row r="33" spans="1:25">
      <c r="A33" s="675" t="s">
        <v>486</v>
      </c>
      <c r="B33" s="675"/>
      <c r="C33" s="675"/>
      <c r="D33" s="675"/>
      <c r="E33" s="675"/>
      <c r="F33" s="675"/>
      <c r="G33" s="675"/>
      <c r="H33" s="64"/>
      <c r="I33" s="64"/>
      <c r="J33" s="64"/>
      <c r="K33" s="64"/>
      <c r="L33" s="64"/>
      <c r="N33" s="64"/>
      <c r="O33" s="64"/>
      <c r="P33" s="64"/>
      <c r="Q33" s="64"/>
      <c r="R33" s="18">
        <f>Inputs!$B$3</f>
        <v>7.0000000000000007E-2</v>
      </c>
      <c r="S33" s="18">
        <f>Inputs!$B$3</f>
        <v>7.0000000000000007E-2</v>
      </c>
      <c r="T33" s="18">
        <f>Inputs!$B$4</f>
        <v>0.03</v>
      </c>
      <c r="U33" s="64"/>
      <c r="V33" s="64"/>
      <c r="W33" s="64"/>
      <c r="X33" s="64"/>
      <c r="Y33" s="64"/>
    </row>
    <row r="34" spans="1:25" ht="75">
      <c r="A34" s="75" t="s">
        <v>147</v>
      </c>
      <c r="B34" s="75" t="s">
        <v>0</v>
      </c>
      <c r="C34" s="93" t="s">
        <v>201</v>
      </c>
      <c r="D34" s="93" t="s">
        <v>202</v>
      </c>
      <c r="E34" s="93" t="s">
        <v>208</v>
      </c>
      <c r="F34" s="93" t="s">
        <v>203</v>
      </c>
      <c r="G34" s="93" t="s">
        <v>242</v>
      </c>
      <c r="H34" s="93" t="s">
        <v>204</v>
      </c>
      <c r="I34" s="75" t="s">
        <v>205</v>
      </c>
      <c r="J34" s="93" t="s">
        <v>209</v>
      </c>
      <c r="K34" s="93" t="s">
        <v>206</v>
      </c>
      <c r="L34" s="93" t="s">
        <v>248</v>
      </c>
      <c r="M34" s="93" t="s">
        <v>207</v>
      </c>
      <c r="N34" s="93" t="s">
        <v>197</v>
      </c>
      <c r="O34" s="93" t="s">
        <v>198</v>
      </c>
      <c r="P34" s="93" t="s">
        <v>261</v>
      </c>
      <c r="Q34" s="75" t="s">
        <v>249</v>
      </c>
      <c r="R34" s="93" t="s">
        <v>260</v>
      </c>
      <c r="S34" s="75" t="s">
        <v>199</v>
      </c>
      <c r="T34" s="75" t="s">
        <v>200</v>
      </c>
      <c r="U34" s="93" t="s">
        <v>279</v>
      </c>
      <c r="V34" s="93" t="s">
        <v>280</v>
      </c>
      <c r="W34" s="93" t="s">
        <v>281</v>
      </c>
      <c r="X34" s="93" t="s">
        <v>282</v>
      </c>
      <c r="Y34" s="64"/>
    </row>
    <row r="35" spans="1:25">
      <c r="A35" s="64">
        <f>IF((B35&gt;(Inputs!$B$7+Inputs!$B$8)),0,IF((B35&lt;Inputs!$B$7),0,((B35-Inputs!$B$7))))</f>
        <v>0</v>
      </c>
      <c r="B35" s="7">
        <v>2018</v>
      </c>
      <c r="C35" s="17"/>
      <c r="G35" s="64"/>
      <c r="H35" s="17"/>
      <c r="I35" s="64"/>
      <c r="J35" s="64"/>
      <c r="K35" s="64"/>
      <c r="L35" s="64"/>
      <c r="M35"/>
      <c r="Q35" s="64"/>
      <c r="R35" s="64"/>
      <c r="U35" s="141">
        <f>D35+I35</f>
        <v>0</v>
      </c>
      <c r="V35" s="141">
        <f>E35+J35</f>
        <v>0</v>
      </c>
      <c r="W35" s="141">
        <f t="shared" ref="W35:X35" si="0">F35+K35</f>
        <v>0</v>
      </c>
      <c r="X35" s="141">
        <f t="shared" si="0"/>
        <v>0</v>
      </c>
    </row>
    <row r="36" spans="1:25">
      <c r="A36" s="64">
        <f>IF((B36&gt;(Inputs!$B$7+Inputs!$B$8)),0,IF((B36&lt;Inputs!$B$7),0,((B36-Inputs!$B$7))))</f>
        <v>0</v>
      </c>
      <c r="B36" s="7">
        <f>B35+1</f>
        <v>2019</v>
      </c>
      <c r="C36" s="17">
        <f>IF((A36&gt;0),(Traffic_related_data!Z54*Inputs!$B$14),0)</f>
        <v>0</v>
      </c>
      <c r="D36" s="94">
        <f>IF((A36&gt;0),($C36*$H$16/$F$11),0)</f>
        <v>0</v>
      </c>
      <c r="E36" s="94">
        <f t="shared" ref="E36:E39" si="1">IF((A36&gt;0),($C36*$I$16/$F$11),0)</f>
        <v>0</v>
      </c>
      <c r="F36" s="94">
        <f t="shared" ref="F36:F39" si="2">IF((A36&gt;0),($C36*$J$16/$F$11),0)</f>
        <v>0</v>
      </c>
      <c r="G36" s="72">
        <f t="shared" ref="G36:G39" si="3">IF((A36&gt;0),($C36*$K$16/$F$12),0)</f>
        <v>0</v>
      </c>
      <c r="H36" s="17">
        <f>IF((A36&gt;0),(Traffic_related_data!AA54*Inputs!$B$14),0)</f>
        <v>0</v>
      </c>
      <c r="I36" s="94">
        <f>IF((A36&gt;0),($H36*$P$17/$F$11),0)</f>
        <v>0</v>
      </c>
      <c r="J36" s="94">
        <f>IF((A36&gt;0),($H36*$R$17/$F$11),0)</f>
        <v>0</v>
      </c>
      <c r="K36" s="94">
        <f>IF((A36&gt;0),($H36*$O$17/$F$11),0)</f>
        <v>0</v>
      </c>
      <c r="L36" s="72">
        <f>IF((A36&gt;0),($H36*$T$17/$F$12),0)</f>
        <v>0</v>
      </c>
      <c r="M36" s="96">
        <f>(D36+I36)*$C$17</f>
        <v>0</v>
      </c>
      <c r="N36" s="96">
        <f t="shared" ref="N36:N39" si="4">(E36+J36)*$C$18</f>
        <v>0</v>
      </c>
      <c r="O36" s="96">
        <f t="shared" ref="O36:O39" si="5">(F36+K36)*$C$16</f>
        <v>0</v>
      </c>
      <c r="P36" s="134">
        <f>SUM(M36:O36)</f>
        <v>0</v>
      </c>
      <c r="Q36" s="134">
        <f>(G36+L36)*$C$22</f>
        <v>0</v>
      </c>
      <c r="R36" s="133">
        <f t="shared" ref="R36:R77" si="6">ROUND($Q36/((1+R$33)^($B36-$C$31)),0)</f>
        <v>0</v>
      </c>
      <c r="S36" s="133">
        <f t="shared" ref="S36:S77" si="7">ROUND($P36/((1+S$33)^($B36-$C$31)),0)+R36</f>
        <v>0</v>
      </c>
      <c r="T36" s="133">
        <f t="shared" ref="T36:T77" si="8">ROUND($P36/((1+T$33)^($B36-$C$31)),0)+R36</f>
        <v>0</v>
      </c>
      <c r="U36" s="141">
        <f t="shared" ref="U36:U66" si="9">D36+I36</f>
        <v>0</v>
      </c>
      <c r="V36" s="141">
        <f t="shared" ref="V36:V66" si="10">E36+J36</f>
        <v>0</v>
      </c>
      <c r="W36" s="141">
        <f t="shared" ref="W36:W66" si="11">F36+K36</f>
        <v>0</v>
      </c>
      <c r="X36" s="141">
        <f t="shared" ref="X36:X66" si="12">G36+L36</f>
        <v>0</v>
      </c>
    </row>
    <row r="37" spans="1:25">
      <c r="A37" s="64">
        <f>IF((B37&gt;(Inputs!$B$7+Inputs!$B$8)),0,IF((B37&lt;Inputs!$B$7),0,((B37-Inputs!$B$7))))</f>
        <v>0</v>
      </c>
      <c r="B37" s="7">
        <f t="shared" ref="B37:B77" si="13">B36+1</f>
        <v>2020</v>
      </c>
      <c r="C37" s="17">
        <f>IF((A37&gt;0),(Traffic_related_data!Z55*Inputs!$B$14),0)</f>
        <v>0</v>
      </c>
      <c r="D37" s="94">
        <f>IF((A37&gt;0),($C37*$H$16/$F$11),0)</f>
        <v>0</v>
      </c>
      <c r="E37" s="94">
        <f t="shared" si="1"/>
        <v>0</v>
      </c>
      <c r="F37" s="94">
        <f t="shared" si="2"/>
        <v>0</v>
      </c>
      <c r="G37" s="72">
        <f t="shared" si="3"/>
        <v>0</v>
      </c>
      <c r="H37" s="17">
        <f>IF((A37&gt;0),(Traffic_related_data!AA55*Inputs!$B$14),0)</f>
        <v>0</v>
      </c>
      <c r="I37" s="94">
        <f t="shared" ref="I37:I39" si="14">IF((A37&gt;0),($H37*$P$18/$F$11),0)</f>
        <v>0</v>
      </c>
      <c r="J37" s="94">
        <f t="shared" ref="J37:J39" si="15">IF((A37&gt;0),($H37*$R$18/$F$11),0)</f>
        <v>0</v>
      </c>
      <c r="K37" s="94">
        <f t="shared" ref="K37:K39" si="16">IF((A37&gt;0),($H37*$O$18/$F$11),0)</f>
        <v>0</v>
      </c>
      <c r="L37" s="72">
        <f t="shared" ref="L37:L39" si="17">IF((A37&gt;0),($H37*$T$18/$F$12),0)</f>
        <v>0</v>
      </c>
      <c r="M37" s="96">
        <f t="shared" ref="M37:M39" si="18">(D37+I37)*$C$17</f>
        <v>0</v>
      </c>
      <c r="N37" s="96">
        <f t="shared" si="4"/>
        <v>0</v>
      </c>
      <c r="O37" s="96">
        <f t="shared" si="5"/>
        <v>0</v>
      </c>
      <c r="P37" s="134">
        <f t="shared" ref="P37:P39" si="19">SUM(M37:O37)</f>
        <v>0</v>
      </c>
      <c r="Q37" s="134">
        <f t="shared" ref="Q37:Q39" si="20">(G37+L37)*$C$22</f>
        <v>0</v>
      </c>
      <c r="R37" s="133">
        <f t="shared" si="6"/>
        <v>0</v>
      </c>
      <c r="S37" s="133">
        <f t="shared" si="7"/>
        <v>0</v>
      </c>
      <c r="T37" s="133">
        <f t="shared" si="8"/>
        <v>0</v>
      </c>
      <c r="U37" s="141">
        <f t="shared" si="9"/>
        <v>0</v>
      </c>
      <c r="V37" s="141">
        <f t="shared" si="10"/>
        <v>0</v>
      </c>
      <c r="W37" s="141">
        <f t="shared" si="11"/>
        <v>0</v>
      </c>
      <c r="X37" s="141">
        <f t="shared" si="12"/>
        <v>0</v>
      </c>
    </row>
    <row r="38" spans="1:25">
      <c r="A38" s="64">
        <f>IF((B38&gt;(Inputs!$B$7+Inputs!$B$8)),0,IF((B38&lt;Inputs!$B$7),0,((B38-Inputs!$B$7))))</f>
        <v>0</v>
      </c>
      <c r="B38" s="7">
        <f t="shared" si="13"/>
        <v>2021</v>
      </c>
      <c r="C38" s="17">
        <f>IF((A38&gt;0),(Traffic_related_data!Z56*Inputs!$B$14),0)</f>
        <v>0</v>
      </c>
      <c r="D38" s="94">
        <f t="shared" ref="D38:D39" si="21">IF((A38&gt;0),($C38*$H$16/$F$11),0)</f>
        <v>0</v>
      </c>
      <c r="E38" s="94">
        <f t="shared" si="1"/>
        <v>0</v>
      </c>
      <c r="F38" s="94">
        <f t="shared" si="2"/>
        <v>0</v>
      </c>
      <c r="G38" s="72">
        <f t="shared" si="3"/>
        <v>0</v>
      </c>
      <c r="H38" s="17">
        <f>IF((A38&gt;0),(Traffic_related_data!AA56*Inputs!$B$14),0)</f>
        <v>0</v>
      </c>
      <c r="I38" s="94">
        <f t="shared" si="14"/>
        <v>0</v>
      </c>
      <c r="J38" s="94">
        <f t="shared" si="15"/>
        <v>0</v>
      </c>
      <c r="K38" s="94">
        <f t="shared" si="16"/>
        <v>0</v>
      </c>
      <c r="L38" s="72">
        <f t="shared" si="17"/>
        <v>0</v>
      </c>
      <c r="M38" s="96">
        <f t="shared" si="18"/>
        <v>0</v>
      </c>
      <c r="N38" s="96">
        <f t="shared" si="4"/>
        <v>0</v>
      </c>
      <c r="O38" s="96">
        <f t="shared" si="5"/>
        <v>0</v>
      </c>
      <c r="P38" s="134">
        <f t="shared" si="19"/>
        <v>0</v>
      </c>
      <c r="Q38" s="134">
        <f t="shared" si="20"/>
        <v>0</v>
      </c>
      <c r="R38" s="133">
        <f t="shared" si="6"/>
        <v>0</v>
      </c>
      <c r="S38" s="133">
        <f t="shared" si="7"/>
        <v>0</v>
      </c>
      <c r="T38" s="133">
        <f t="shared" si="8"/>
        <v>0</v>
      </c>
      <c r="U38" s="141">
        <f t="shared" si="9"/>
        <v>0</v>
      </c>
      <c r="V38" s="141">
        <f t="shared" si="10"/>
        <v>0</v>
      </c>
      <c r="W38" s="141">
        <f t="shared" si="11"/>
        <v>0</v>
      </c>
      <c r="X38" s="141">
        <f t="shared" si="12"/>
        <v>0</v>
      </c>
    </row>
    <row r="39" spans="1:25">
      <c r="A39" s="64">
        <f>IF((B39&gt;(Inputs!$B$7+Inputs!$B$8)),0,IF((B39&lt;Inputs!$B$7),0,((B39-Inputs!$B$7))))</f>
        <v>0</v>
      </c>
      <c r="B39" s="7">
        <f t="shared" si="13"/>
        <v>2022</v>
      </c>
      <c r="C39" s="17">
        <f>IF((A39&gt;0),(Traffic_related_data!Z57*Inputs!$B$14),0)</f>
        <v>0</v>
      </c>
      <c r="D39" s="94">
        <f t="shared" si="21"/>
        <v>0</v>
      </c>
      <c r="E39" s="94">
        <f t="shared" si="1"/>
        <v>0</v>
      </c>
      <c r="F39" s="94">
        <f t="shared" si="2"/>
        <v>0</v>
      </c>
      <c r="G39" s="72">
        <f t="shared" si="3"/>
        <v>0</v>
      </c>
      <c r="H39" s="17">
        <f>IF((A39&gt;0),(Traffic_related_data!AA57*Inputs!$B$14),0)</f>
        <v>0</v>
      </c>
      <c r="I39" s="94">
        <f t="shared" si="14"/>
        <v>0</v>
      </c>
      <c r="J39" s="94">
        <f t="shared" si="15"/>
        <v>0</v>
      </c>
      <c r="K39" s="94">
        <f t="shared" si="16"/>
        <v>0</v>
      </c>
      <c r="L39" s="72">
        <f t="shared" si="17"/>
        <v>0</v>
      </c>
      <c r="M39" s="96">
        <f t="shared" si="18"/>
        <v>0</v>
      </c>
      <c r="N39" s="96">
        <f t="shared" si="4"/>
        <v>0</v>
      </c>
      <c r="O39" s="96">
        <f t="shared" si="5"/>
        <v>0</v>
      </c>
      <c r="P39" s="134">
        <f t="shared" si="19"/>
        <v>0</v>
      </c>
      <c r="Q39" s="134">
        <f t="shared" si="20"/>
        <v>0</v>
      </c>
      <c r="R39" s="133">
        <f t="shared" si="6"/>
        <v>0</v>
      </c>
      <c r="S39" s="133">
        <f t="shared" si="7"/>
        <v>0</v>
      </c>
      <c r="T39" s="133">
        <f t="shared" si="8"/>
        <v>0</v>
      </c>
      <c r="U39" s="141">
        <f t="shared" si="9"/>
        <v>0</v>
      </c>
      <c r="V39" s="141">
        <f t="shared" si="10"/>
        <v>0</v>
      </c>
      <c r="W39" s="141">
        <f t="shared" si="11"/>
        <v>0</v>
      </c>
      <c r="X39" s="141">
        <f t="shared" si="12"/>
        <v>0</v>
      </c>
    </row>
    <row r="40" spans="1:25">
      <c r="A40" s="64">
        <f>IF((B40&gt;(Inputs!$B$7+Inputs!$B$8)),0,IF((B40&lt;Inputs!$B$7),0,((B40-Inputs!$B$7))))</f>
        <v>0</v>
      </c>
      <c r="B40" s="7">
        <f t="shared" si="13"/>
        <v>2023</v>
      </c>
      <c r="C40" s="17">
        <f>IF((A40&gt;0),(Traffic_related_data!Z58*Inputs!$B$14),0)</f>
        <v>0</v>
      </c>
      <c r="D40" s="94">
        <f>IF((A40&gt;0),($C40*$H$16/$F$11),0)</f>
        <v>0</v>
      </c>
      <c r="E40" s="94">
        <f>IF((A40&gt;0),($C40*$I$16/$F$11),0)</f>
        <v>0</v>
      </c>
      <c r="F40" s="94">
        <f>IF((A40&gt;0),($C40*$J$16/$F$11),0)</f>
        <v>0</v>
      </c>
      <c r="G40" s="72">
        <f>IF((A40&gt;0),($C40*$K$16/$F$12),0)</f>
        <v>0</v>
      </c>
      <c r="H40" s="17">
        <f>IF((A40&gt;0),(Traffic_related_data!AA58*Inputs!$B$14),0)</f>
        <v>0</v>
      </c>
      <c r="I40" s="94">
        <f>IF((A40&gt;0),($H40*$P$18/$F$11),0)</f>
        <v>0</v>
      </c>
      <c r="J40" s="94">
        <f>IF((A40&gt;0),($H40*$R$18/$F$11),0)</f>
        <v>0</v>
      </c>
      <c r="K40" s="94">
        <f>IF((A40&gt;0),($H40*$O$18/$F$11),0)</f>
        <v>0</v>
      </c>
      <c r="L40" s="72">
        <f>IF((A40&gt;0),($H40*$T$18/$F$12),0)</f>
        <v>0</v>
      </c>
      <c r="M40" s="96">
        <f t="shared" ref="M40:M66" si="22">(D40+I40)*$C$17</f>
        <v>0</v>
      </c>
      <c r="N40" s="96">
        <f t="shared" ref="N40:N66" si="23">(E40+J40)*$C$18</f>
        <v>0</v>
      </c>
      <c r="O40" s="96">
        <f t="shared" ref="O40:O66" si="24">(F40+K40)*$C$16</f>
        <v>0</v>
      </c>
      <c r="P40" s="134">
        <f t="shared" ref="P40:P66" si="25">SUM(M40:O40)</f>
        <v>0</v>
      </c>
      <c r="Q40" s="134">
        <f>(G40+L40)*$C$22</f>
        <v>0</v>
      </c>
      <c r="R40" s="133">
        <f t="shared" si="6"/>
        <v>0</v>
      </c>
      <c r="S40" s="133">
        <f t="shared" si="7"/>
        <v>0</v>
      </c>
      <c r="T40" s="133">
        <f t="shared" si="8"/>
        <v>0</v>
      </c>
      <c r="U40" s="141">
        <f t="shared" si="9"/>
        <v>0</v>
      </c>
      <c r="V40" s="141">
        <f t="shared" si="10"/>
        <v>0</v>
      </c>
      <c r="W40" s="141">
        <f t="shared" si="11"/>
        <v>0</v>
      </c>
      <c r="X40" s="134">
        <f t="shared" si="12"/>
        <v>0</v>
      </c>
    </row>
    <row r="41" spans="1:25">
      <c r="A41" s="64">
        <f>IF((B41&gt;(Inputs!$B$7+Inputs!$B$8)),0,IF((B41&lt;Inputs!$B$7),0,((B41-Inputs!$B$7))))</f>
        <v>0</v>
      </c>
      <c r="B41" s="7">
        <f t="shared" si="13"/>
        <v>2024</v>
      </c>
      <c r="C41" s="17">
        <f>IF((A41&gt;0),(Traffic_related_data!Z59*Inputs!$B$14),0)</f>
        <v>0</v>
      </c>
      <c r="D41" s="94">
        <f t="shared" ref="D41" si="26">IF((A41&gt;0),($C41*$H$16/$F$11),0)</f>
        <v>0</v>
      </c>
      <c r="E41" s="94">
        <f t="shared" ref="E41" si="27">IF((A41&gt;0),($C41*$I$16/$F$11),0)</f>
        <v>0</v>
      </c>
      <c r="F41" s="94">
        <f t="shared" ref="F41" si="28">IF((A41&gt;0),($C41*$J$16/$F$11),0)</f>
        <v>0</v>
      </c>
      <c r="G41" s="72">
        <f t="shared" ref="G41" si="29">IF((A41&gt;0),($C41*$K$16/$F$12),0)</f>
        <v>0</v>
      </c>
      <c r="H41" s="17">
        <f>IF((A41&gt;0),(Traffic_related_data!AA59*Inputs!$B$14),0)</f>
        <v>0</v>
      </c>
      <c r="I41" s="94">
        <f t="shared" ref="I41:I77" si="30">$H41*$P$18/$F$11</f>
        <v>0</v>
      </c>
      <c r="J41" s="94">
        <f t="shared" ref="J41:J77" si="31">$H41*$R$18/$F$11</f>
        <v>0</v>
      </c>
      <c r="K41" s="94">
        <f t="shared" ref="K41:K77" si="32">$H41*$O$18/$F$11</f>
        <v>0</v>
      </c>
      <c r="L41" s="72">
        <f t="shared" ref="L41:L77" si="33">$H41*$T$18/$F$12</f>
        <v>0</v>
      </c>
      <c r="M41" s="96">
        <f t="shared" si="22"/>
        <v>0</v>
      </c>
      <c r="N41" s="96">
        <f t="shared" si="23"/>
        <v>0</v>
      </c>
      <c r="O41" s="96">
        <f t="shared" si="24"/>
        <v>0</v>
      </c>
      <c r="P41" s="134">
        <f t="shared" si="25"/>
        <v>0</v>
      </c>
      <c r="Q41" s="134">
        <f>(G41+L41)*$C$22</f>
        <v>0</v>
      </c>
      <c r="R41" s="133">
        <f t="shared" si="6"/>
        <v>0</v>
      </c>
      <c r="S41" s="133">
        <f t="shared" si="7"/>
        <v>0</v>
      </c>
      <c r="T41" s="133">
        <f t="shared" si="8"/>
        <v>0</v>
      </c>
      <c r="U41" s="141">
        <f t="shared" si="9"/>
        <v>0</v>
      </c>
      <c r="V41" s="141">
        <f t="shared" si="10"/>
        <v>0</v>
      </c>
      <c r="W41" s="141">
        <f t="shared" si="11"/>
        <v>0</v>
      </c>
      <c r="X41" s="134">
        <f t="shared" si="12"/>
        <v>0</v>
      </c>
    </row>
    <row r="42" spans="1:25">
      <c r="A42" s="64">
        <f>IF((B42&gt;(Inputs!$B$7+Inputs!$B$8)),0,IF((B42&lt;Inputs!$B$7),0,((B42-Inputs!$B$7))))</f>
        <v>0</v>
      </c>
      <c r="B42" s="7">
        <f t="shared" si="13"/>
        <v>2025</v>
      </c>
      <c r="C42" s="17">
        <f>IF((A42&gt;0),(Traffic_related_data!Z60*Inputs!$B$14),0)</f>
        <v>0</v>
      </c>
      <c r="D42" s="94">
        <f>IF((A42&gt;0),($C42*$H$17/$F$11),0)</f>
        <v>0</v>
      </c>
      <c r="E42" s="94">
        <f>IF((A42&gt;0),($C42*$I$17/$F$11),0)</f>
        <v>0</v>
      </c>
      <c r="F42" s="94">
        <f>IF((A42&gt;0),($C42*$J$17/$F$11),0)</f>
        <v>0</v>
      </c>
      <c r="G42" s="72">
        <f>IF((A42&gt;0),($C42*$K$17/$F$12),0)</f>
        <v>0</v>
      </c>
      <c r="H42" s="17">
        <f>IF((A42&gt;0),(Traffic_related_data!AA60*Inputs!$B$14),0)</f>
        <v>0</v>
      </c>
      <c r="I42" s="94">
        <f t="shared" si="30"/>
        <v>0</v>
      </c>
      <c r="J42" s="94">
        <f t="shared" si="31"/>
        <v>0</v>
      </c>
      <c r="K42" s="94">
        <f t="shared" si="32"/>
        <v>0</v>
      </c>
      <c r="L42" s="72">
        <f t="shared" si="33"/>
        <v>0</v>
      </c>
      <c r="M42" s="96">
        <f t="shared" si="22"/>
        <v>0</v>
      </c>
      <c r="N42" s="96">
        <f t="shared" si="23"/>
        <v>0</v>
      </c>
      <c r="O42" s="96">
        <f t="shared" si="24"/>
        <v>0</v>
      </c>
      <c r="P42" s="134">
        <f t="shared" si="25"/>
        <v>0</v>
      </c>
      <c r="Q42" s="134">
        <f>(G42+L42)*$C$23</f>
        <v>0</v>
      </c>
      <c r="R42" s="133">
        <f t="shared" si="6"/>
        <v>0</v>
      </c>
      <c r="S42" s="133">
        <f t="shared" si="7"/>
        <v>0</v>
      </c>
      <c r="T42" s="133">
        <f t="shared" si="8"/>
        <v>0</v>
      </c>
      <c r="U42" s="141">
        <f t="shared" si="9"/>
        <v>0</v>
      </c>
      <c r="V42" s="141">
        <f t="shared" si="10"/>
        <v>0</v>
      </c>
      <c r="W42" s="141">
        <f t="shared" si="11"/>
        <v>0</v>
      </c>
      <c r="X42" s="134">
        <f t="shared" si="12"/>
        <v>0</v>
      </c>
    </row>
    <row r="43" spans="1:25">
      <c r="A43" s="64">
        <f>IF((B43&gt;(Inputs!$B$7+Inputs!$B$8)),0,IF((B43&lt;Inputs!$B$7),0,((B43-Inputs!$B$7))))</f>
        <v>1</v>
      </c>
      <c r="B43" s="7">
        <f t="shared" si="13"/>
        <v>2026</v>
      </c>
      <c r="C43" s="17">
        <f>IF((A43&gt;0),(Traffic_related_data!Z61*Inputs!$B$14),0)</f>
        <v>-24626.172510037824</v>
      </c>
      <c r="D43" s="94">
        <f t="shared" ref="D43:D51" si="34">IF((A43&gt;0),($C43*$H$17/$F$11),0)</f>
        <v>-7.6007962023298351E-3</v>
      </c>
      <c r="E43" s="94">
        <f t="shared" ref="E43:E51" si="35">IF((A43&gt;0),($C43*$I$17/$F$11),0)</f>
        <v>-2.7145700722606552E-4</v>
      </c>
      <c r="F43" s="94">
        <f t="shared" ref="F43:F51" si="36">IF((A43&gt;0),($C43*$J$17/$F$11),0)</f>
        <v>-7.3293391951037698E-3</v>
      </c>
      <c r="G43" s="72">
        <f t="shared" ref="G43:G51" si="37">IF((A43&gt;0),($C43*$K$17/$F$12),0)</f>
        <v>-10.687758869356417</v>
      </c>
      <c r="H43" s="17">
        <f>IF((A43&gt;0),(Traffic_related_data!AA61*Inputs!$B$14),0)</f>
        <v>-7805.2328410055115</v>
      </c>
      <c r="I43" s="94">
        <f t="shared" si="30"/>
        <v>-1.127097011273028E-2</v>
      </c>
      <c r="J43" s="94">
        <f t="shared" si="31"/>
        <v>-4.3018969895917107E-4</v>
      </c>
      <c r="K43" s="94">
        <f t="shared" si="32"/>
        <v>-5.1622763875100518E-4</v>
      </c>
      <c r="L43" s="72">
        <f t="shared" si="33"/>
        <v>-5.8611054449678583</v>
      </c>
      <c r="M43" s="96">
        <f t="shared" si="22"/>
        <v>-162.29719030951699</v>
      </c>
      <c r="N43" s="96">
        <f t="shared" si="23"/>
        <v>-271.74776930554214</v>
      </c>
      <c r="O43" s="96">
        <f t="shared" si="24"/>
        <v>-16.475690351095029</v>
      </c>
      <c r="P43" s="134">
        <f t="shared" si="25"/>
        <v>-450.52064996615417</v>
      </c>
      <c r="Q43" s="134">
        <f>(G43+L43)*$C$23</f>
        <v>-16.548864314324277</v>
      </c>
      <c r="R43" s="133">
        <f t="shared" si="6"/>
        <v>-11</v>
      </c>
      <c r="S43" s="133">
        <f t="shared" si="7"/>
        <v>-311</v>
      </c>
      <c r="T43" s="133">
        <f t="shared" si="8"/>
        <v>-388</v>
      </c>
      <c r="U43" s="141">
        <f t="shared" si="9"/>
        <v>-1.8871766315060115E-2</v>
      </c>
      <c r="V43" s="141">
        <f t="shared" si="10"/>
        <v>-7.0164670618523659E-4</v>
      </c>
      <c r="W43" s="141">
        <f t="shared" si="11"/>
        <v>-7.8455668338547752E-3</v>
      </c>
      <c r="X43" s="134">
        <f t="shared" si="12"/>
        <v>-16.548864314324277</v>
      </c>
    </row>
    <row r="44" spans="1:25">
      <c r="A44" s="64">
        <f>IF((B44&gt;(Inputs!$B$7+Inputs!$B$8)),0,IF((B44&lt;Inputs!$B$7),0,((B44-Inputs!$B$7))))</f>
        <v>2</v>
      </c>
      <c r="B44" s="7">
        <f t="shared" si="13"/>
        <v>2027</v>
      </c>
      <c r="C44" s="17">
        <f>IF((A44&gt;0),(Traffic_related_data!Z62*Inputs!$B$14),0)</f>
        <v>-18665.429477909387</v>
      </c>
      <c r="D44" s="94">
        <f t="shared" si="34"/>
        <v>-5.7610302791763846E-3</v>
      </c>
      <c r="E44" s="94">
        <f t="shared" si="35"/>
        <v>-2.057510813991566E-4</v>
      </c>
      <c r="F44" s="94">
        <f t="shared" si="36"/>
        <v>-5.5552791977772284E-3</v>
      </c>
      <c r="G44" s="72">
        <f t="shared" si="37"/>
        <v>-8.1007963934126739</v>
      </c>
      <c r="H44" s="17">
        <f>IF((A44&gt;0),(Traffic_related_data!AA62*Inputs!$B$14),0)</f>
        <v>-5439.5075173999112</v>
      </c>
      <c r="I44" s="94">
        <f t="shared" si="30"/>
        <v>-7.8547979164050145E-3</v>
      </c>
      <c r="J44" s="94">
        <f t="shared" si="31"/>
        <v>-2.998014471910311E-4</v>
      </c>
      <c r="K44" s="94">
        <f t="shared" si="32"/>
        <v>-3.5976173662923732E-4</v>
      </c>
      <c r="L44" s="72">
        <f t="shared" si="33"/>
        <v>-4.0846349849659411</v>
      </c>
      <c r="M44" s="96">
        <f t="shared" si="22"/>
        <v>-117.09612248200003</v>
      </c>
      <c r="N44" s="96">
        <f t="shared" si="23"/>
        <v>-195.80049432297972</v>
      </c>
      <c r="O44" s="96">
        <f t="shared" si="24"/>
        <v>-12.421585962253577</v>
      </c>
      <c r="P44" s="134">
        <f t="shared" si="25"/>
        <v>-325.31820276723334</v>
      </c>
      <c r="Q44" s="134">
        <f>(G44+L44)*$C$23</f>
        <v>-12.185431378378615</v>
      </c>
      <c r="R44" s="133">
        <f t="shared" si="6"/>
        <v>-8</v>
      </c>
      <c r="S44" s="133">
        <f t="shared" si="7"/>
        <v>-211</v>
      </c>
      <c r="T44" s="133">
        <f t="shared" si="8"/>
        <v>-273</v>
      </c>
      <c r="U44" s="141">
        <f t="shared" si="9"/>
        <v>-1.3615828195581398E-2</v>
      </c>
      <c r="V44" s="141">
        <f t="shared" si="10"/>
        <v>-5.0555252859018772E-4</v>
      </c>
      <c r="W44" s="141">
        <f t="shared" si="11"/>
        <v>-5.9150409344064653E-3</v>
      </c>
      <c r="X44" s="134">
        <f t="shared" si="12"/>
        <v>-12.185431378378615</v>
      </c>
    </row>
    <row r="45" spans="1:25">
      <c r="A45" s="64">
        <f>IF((B45&gt;(Inputs!$B$7+Inputs!$B$8)),0,IF((B45&lt;Inputs!$B$7),0,((B45-Inputs!$B$7))))</f>
        <v>3</v>
      </c>
      <c r="B45" s="7">
        <f t="shared" si="13"/>
        <v>2028</v>
      </c>
      <c r="C45" s="17">
        <f>IF((A45&gt;0),(Traffic_related_data!Z63*Inputs!$B$14),0)</f>
        <v>-12704.558418723669</v>
      </c>
      <c r="D45" s="94">
        <f t="shared" si="34"/>
        <v>-3.9212248408457238E-3</v>
      </c>
      <c r="E45" s="94">
        <f t="shared" si="35"/>
        <v>-1.400437443159187E-4</v>
      </c>
      <c r="F45" s="94">
        <f t="shared" si="36"/>
        <v>-3.7811810965298043E-3</v>
      </c>
      <c r="G45" s="72">
        <f t="shared" si="37"/>
        <v>-5.5137783537260718</v>
      </c>
      <c r="H45" s="17">
        <f>IF((A45&gt;0),(Traffic_related_data!AA63*Inputs!$B$14),0)</f>
        <v>-3075.0911093280583</v>
      </c>
      <c r="I45" s="94">
        <f t="shared" si="30"/>
        <v>-4.440515829979284E-3</v>
      </c>
      <c r="J45" s="94">
        <f t="shared" si="31"/>
        <v>-1.6948533702211007E-4</v>
      </c>
      <c r="K45" s="94">
        <f t="shared" si="32"/>
        <v>-2.0338240442653208E-4</v>
      </c>
      <c r="L45" s="72">
        <f t="shared" si="33"/>
        <v>-2.3091474158166254</v>
      </c>
      <c r="M45" s="96">
        <f t="shared" si="22"/>
        <v>-71.910969769095061</v>
      </c>
      <c r="N45" s="96">
        <f t="shared" si="23"/>
        <v>-119.88061320221854</v>
      </c>
      <c r="O45" s="96">
        <f t="shared" si="24"/>
        <v>-8.3675833520083067</v>
      </c>
      <c r="P45" s="134">
        <f t="shared" si="25"/>
        <v>-200.1591663233219</v>
      </c>
      <c r="Q45" s="134">
        <f>(G45+L45)*$C$23</f>
        <v>-7.8229257695426977</v>
      </c>
      <c r="R45" s="133">
        <f t="shared" si="6"/>
        <v>-5</v>
      </c>
      <c r="S45" s="133">
        <f t="shared" si="7"/>
        <v>-121</v>
      </c>
      <c r="T45" s="133">
        <f t="shared" si="8"/>
        <v>-163</v>
      </c>
      <c r="U45" s="141">
        <f t="shared" si="9"/>
        <v>-8.3617406708250078E-3</v>
      </c>
      <c r="V45" s="141">
        <f t="shared" si="10"/>
        <v>-3.0952908133802877E-4</v>
      </c>
      <c r="W45" s="141">
        <f t="shared" si="11"/>
        <v>-3.9845635009563363E-3</v>
      </c>
      <c r="X45" s="134">
        <f t="shared" si="12"/>
        <v>-7.8229257695426977</v>
      </c>
    </row>
    <row r="46" spans="1:25">
      <c r="A46" s="64">
        <f>IF((B46&gt;(Inputs!$B$7+Inputs!$B$8)),0,IF((B46&lt;Inputs!$B$7),0,((B46-Inputs!$B$7))))</f>
        <v>4</v>
      </c>
      <c r="B46" s="7">
        <f t="shared" si="13"/>
        <v>2029</v>
      </c>
      <c r="C46" s="17">
        <f>IF((A46&gt;0),(Traffic_related_data!Z64*Inputs!$B$14),0)</f>
        <v>-6743.5635446503384</v>
      </c>
      <c r="D46" s="94">
        <f t="shared" si="34"/>
        <v>-2.0813811874117131E-3</v>
      </c>
      <c r="E46" s="94">
        <f t="shared" si="35"/>
        <v>-7.4335042407561172E-5</v>
      </c>
      <c r="F46" s="94">
        <f t="shared" si="36"/>
        <v>-2.0070461450041517E-3</v>
      </c>
      <c r="G46" s="72">
        <f t="shared" si="37"/>
        <v>-2.9267065783782464</v>
      </c>
      <c r="H46" s="17">
        <f>IF((A46&gt;0),(Traffic_related_data!AA64*Inputs!$B$14),0)</f>
        <v>-711.93681273587515</v>
      </c>
      <c r="I46" s="94">
        <f t="shared" si="30"/>
        <v>-1.0280562671164057E-3</v>
      </c>
      <c r="J46" s="94">
        <f t="shared" si="31"/>
        <v>-3.9238788821236859E-5</v>
      </c>
      <c r="K46" s="94">
        <f t="shared" si="32"/>
        <v>-4.7086546585484226E-5</v>
      </c>
      <c r="L46" s="72">
        <f t="shared" si="33"/>
        <v>-0.53460759141962333</v>
      </c>
      <c r="M46" s="96">
        <f t="shared" si="22"/>
        <v>-26.741162108941822</v>
      </c>
      <c r="N46" s="96">
        <f t="shared" si="23"/>
        <v>-43.987144834913479</v>
      </c>
      <c r="O46" s="96">
        <f t="shared" si="24"/>
        <v>-4.3136786523382353</v>
      </c>
      <c r="P46" s="134">
        <f t="shared" si="25"/>
        <v>-75.041985596193541</v>
      </c>
      <c r="Q46" s="134">
        <f>(G46+L46)*$C$23</f>
        <v>-3.4613141697978698</v>
      </c>
      <c r="R46" s="133">
        <f t="shared" si="6"/>
        <v>-2</v>
      </c>
      <c r="S46" s="133">
        <f t="shared" si="7"/>
        <v>-43</v>
      </c>
      <c r="T46" s="133">
        <f t="shared" si="8"/>
        <v>-60</v>
      </c>
      <c r="U46" s="141">
        <f t="shared" si="9"/>
        <v>-3.1094374545281188E-3</v>
      </c>
      <c r="V46" s="141">
        <f t="shared" si="10"/>
        <v>-1.1357383122879804E-4</v>
      </c>
      <c r="W46" s="141">
        <f t="shared" si="11"/>
        <v>-2.054132691589636E-3</v>
      </c>
      <c r="X46" s="134">
        <f t="shared" si="12"/>
        <v>-3.4613141697978698</v>
      </c>
    </row>
    <row r="47" spans="1:25">
      <c r="A47" s="64">
        <f>IF((B47&gt;(Inputs!$B$7+Inputs!$B$8)),0,IF((B47&lt;Inputs!$B$7),0,((B47-Inputs!$B$7))))</f>
        <v>5</v>
      </c>
      <c r="B47" s="7">
        <f t="shared" si="13"/>
        <v>2030</v>
      </c>
      <c r="C47" s="17">
        <f>IF((A47&gt;0),(Traffic_related_data!Z65*Inputs!$B$14),0)</f>
        <v>-782.44888505153654</v>
      </c>
      <c r="D47" s="94">
        <f t="shared" si="34"/>
        <v>-2.4150056252520739E-4</v>
      </c>
      <c r="E47" s="94">
        <f t="shared" si="35"/>
        <v>-8.6250200901859773E-6</v>
      </c>
      <c r="F47" s="94">
        <f t="shared" si="36"/>
        <v>-2.3287554243502136E-4</v>
      </c>
      <c r="G47" s="72">
        <f t="shared" si="37"/>
        <v>-0.33958281611236685</v>
      </c>
      <c r="H47" s="17">
        <f>IF((A47&gt;0),(Traffic_related_data!AA65*Inputs!$B$14),0)</f>
        <v>1649.9999999997315</v>
      </c>
      <c r="I47" s="94">
        <f t="shared" si="30"/>
        <v>2.3826452156943166E-3</v>
      </c>
      <c r="J47" s="94">
        <f t="shared" si="31"/>
        <v>9.0940657087569326E-5</v>
      </c>
      <c r="K47" s="94">
        <f t="shared" si="32"/>
        <v>1.0912878850508318E-4</v>
      </c>
      <c r="L47" s="72">
        <f t="shared" si="33"/>
        <v>1.2390179999997983</v>
      </c>
      <c r="M47" s="96">
        <f t="shared" si="22"/>
        <v>18.413844017254341</v>
      </c>
      <c r="N47" s="96">
        <f t="shared" si="23"/>
        <v>31.88084620908657</v>
      </c>
      <c r="O47" s="96">
        <f t="shared" si="24"/>
        <v>-0.25986818325287014</v>
      </c>
      <c r="P47" s="134">
        <f t="shared" si="25"/>
        <v>50.034822043088042</v>
      </c>
      <c r="Q47" s="134">
        <f>(G47+L47)*$C$24</f>
        <v>0.89943518388743149</v>
      </c>
      <c r="R47" s="133">
        <f t="shared" si="6"/>
        <v>0</v>
      </c>
      <c r="S47" s="133">
        <f t="shared" si="7"/>
        <v>25</v>
      </c>
      <c r="T47" s="133">
        <f t="shared" si="8"/>
        <v>37</v>
      </c>
      <c r="U47" s="141">
        <f t="shared" si="9"/>
        <v>2.1411446531691093E-3</v>
      </c>
      <c r="V47" s="141">
        <f t="shared" si="10"/>
        <v>8.2315636997383349E-5</v>
      </c>
      <c r="W47" s="141">
        <f t="shared" si="11"/>
        <v>-1.2374675392993816E-4</v>
      </c>
      <c r="X47" s="134">
        <f t="shared" si="12"/>
        <v>0.89943518388743149</v>
      </c>
    </row>
    <row r="48" spans="1:25">
      <c r="A48" s="64">
        <f>IF((B48&gt;(Inputs!$B$7+Inputs!$B$8)),0,IF((B48&lt;Inputs!$B$7),0,((B48-Inputs!$B$7))))</f>
        <v>6</v>
      </c>
      <c r="B48" s="7">
        <f t="shared" si="13"/>
        <v>2031</v>
      </c>
      <c r="C48" s="17">
        <f>IF((A48&gt;0),(Traffic_related_data!Z66*Inputs!$B$14),0)</f>
        <v>-904.25765859331875</v>
      </c>
      <c r="D48" s="94">
        <f t="shared" si="34"/>
        <v>-2.7909648462676222E-4</v>
      </c>
      <c r="E48" s="94">
        <f t="shared" si="35"/>
        <v>-9.9677315938129365E-6</v>
      </c>
      <c r="F48" s="94">
        <f t="shared" si="36"/>
        <v>-2.6912875303294924E-4</v>
      </c>
      <c r="G48" s="72">
        <f t="shared" si="37"/>
        <v>-0.39244782382950033</v>
      </c>
      <c r="H48" s="17">
        <f>IF((A48&gt;0),(Traffic_related_data!AA66*Inputs!$B$14),0)</f>
        <v>-10.469994656603188</v>
      </c>
      <c r="I48" s="94">
        <f t="shared" si="30"/>
        <v>-1.5118959198124061E-5</v>
      </c>
      <c r="J48" s="94">
        <f t="shared" si="31"/>
        <v>-5.7705951137878089E-7</v>
      </c>
      <c r="K48" s="94">
        <f t="shared" si="32"/>
        <v>-6.9247141365453708E-7</v>
      </c>
      <c r="L48" s="72">
        <f t="shared" si="33"/>
        <v>-7.8621283875364659E-3</v>
      </c>
      <c r="M48" s="96">
        <f t="shared" si="22"/>
        <v>-2.5302528168940221</v>
      </c>
      <c r="N48" s="96">
        <f t="shared" si="23"/>
        <v>-4.0839975950407519</v>
      </c>
      <c r="O48" s="96">
        <f t="shared" si="24"/>
        <v>-0.56662457133786792</v>
      </c>
      <c r="P48" s="134">
        <f t="shared" si="25"/>
        <v>-7.1808749832726422</v>
      </c>
      <c r="Q48" s="134">
        <f>(G48+L48)*$C$24</f>
        <v>-0.4003099522170368</v>
      </c>
      <c r="R48" s="133">
        <f t="shared" si="6"/>
        <v>0</v>
      </c>
      <c r="S48" s="133">
        <f t="shared" si="7"/>
        <v>-3</v>
      </c>
      <c r="T48" s="133">
        <f t="shared" si="8"/>
        <v>-5</v>
      </c>
      <c r="U48" s="141">
        <f t="shared" si="9"/>
        <v>-2.9421544382488631E-4</v>
      </c>
      <c r="V48" s="141">
        <f t="shared" si="10"/>
        <v>-1.0544791105191717E-5</v>
      </c>
      <c r="W48" s="141">
        <f t="shared" si="11"/>
        <v>-2.6982122444660378E-4</v>
      </c>
      <c r="X48" s="134">
        <f t="shared" si="12"/>
        <v>-0.4003099522170368</v>
      </c>
    </row>
    <row r="49" spans="1:25">
      <c r="A49" s="64">
        <f>IF((B49&gt;(Inputs!$B$7+Inputs!$B$8)),0,IF((B49&lt;Inputs!$B$7),0,((B49-Inputs!$B$7))))</f>
        <v>7</v>
      </c>
      <c r="B49" s="7">
        <f t="shared" si="13"/>
        <v>2032</v>
      </c>
      <c r="C49" s="17">
        <f>IF((A49&gt;0),(Traffic_related_data!Z67*Inputs!$B$14),0)</f>
        <v>-1052.1597302091157</v>
      </c>
      <c r="D49" s="94">
        <f t="shared" si="34"/>
        <v>-3.2474602694990818E-4</v>
      </c>
      <c r="E49" s="94">
        <f t="shared" si="35"/>
        <v>-1.1598072391068147E-5</v>
      </c>
      <c r="F49" s="94">
        <f t="shared" si="36"/>
        <v>-3.1314795455883996E-4</v>
      </c>
      <c r="G49" s="72">
        <f t="shared" si="37"/>
        <v>-0.45663732291075615</v>
      </c>
      <c r="H49" s="17">
        <f>IF((A49&gt;0),(Traffic_related_data!AA67*Inputs!$B$14),0)</f>
        <v>-1736.3808903432305</v>
      </c>
      <c r="I49" s="94">
        <f t="shared" si="30"/>
        <v>-2.5073815884848537E-3</v>
      </c>
      <c r="J49" s="94">
        <f t="shared" si="31"/>
        <v>-9.5701587346750145E-5</v>
      </c>
      <c r="K49" s="94">
        <f t="shared" si="32"/>
        <v>-1.1484190481610017E-4</v>
      </c>
      <c r="L49" s="72">
        <f t="shared" si="33"/>
        <v>-1.3038831381765386</v>
      </c>
      <c r="M49" s="96">
        <f t="shared" si="22"/>
        <v>-24.356297492738953</v>
      </c>
      <c r="N49" s="96">
        <f t="shared" si="23"/>
        <v>-41.557158216457026</v>
      </c>
      <c r="O49" s="96">
        <f t="shared" si="24"/>
        <v>-0.8987787046873742</v>
      </c>
      <c r="P49" s="134">
        <f t="shared" si="25"/>
        <v>-66.812234413883345</v>
      </c>
      <c r="Q49" s="134">
        <f t="shared" ref="Q49:Q51" si="38">(G49+L49)*$C$24</f>
        <v>-1.7605204610872947</v>
      </c>
      <c r="R49" s="133">
        <f t="shared" si="6"/>
        <v>-1</v>
      </c>
      <c r="S49" s="133">
        <f t="shared" si="7"/>
        <v>-31</v>
      </c>
      <c r="T49" s="133">
        <f t="shared" si="8"/>
        <v>-48</v>
      </c>
      <c r="U49" s="141">
        <f t="shared" si="9"/>
        <v>-2.832127615434762E-3</v>
      </c>
      <c r="V49" s="141">
        <f t="shared" si="10"/>
        <v>-1.0729965973781829E-4</v>
      </c>
      <c r="W49" s="141">
        <f t="shared" si="11"/>
        <v>-4.2798985937494012E-4</v>
      </c>
      <c r="X49" s="134">
        <f t="shared" si="12"/>
        <v>-1.7605204610872947</v>
      </c>
    </row>
    <row r="50" spans="1:25">
      <c r="A50" s="64">
        <f>IF((B50&gt;(Inputs!$B$7+Inputs!$B$8)),0,IF((B50&lt;Inputs!$B$7),0,((B50-Inputs!$B$7))))</f>
        <v>8</v>
      </c>
      <c r="B50" s="7">
        <f t="shared" si="13"/>
        <v>2033</v>
      </c>
      <c r="C50" s="17">
        <f>IF((A50&gt;0),(Traffic_related_data!Z68*Inputs!$B$14),0)</f>
        <v>-1225.0283452751769</v>
      </c>
      <c r="D50" s="94">
        <f t="shared" si="34"/>
        <v>-3.7810141997172519E-4</v>
      </c>
      <c r="E50" s="94">
        <f t="shared" si="35"/>
        <v>-1.350362214184733E-5</v>
      </c>
      <c r="F50" s="94">
        <f t="shared" si="36"/>
        <v>-3.6459779782987788E-4</v>
      </c>
      <c r="G50" s="72">
        <f t="shared" si="37"/>
        <v>-0.53166230184942687</v>
      </c>
      <c r="H50" s="17">
        <f>IF((A50&gt;0),(Traffic_related_data!AA68*Inputs!$B$14),0)</f>
        <v>-3526.3045903772745</v>
      </c>
      <c r="I50" s="94">
        <f t="shared" si="30"/>
        <v>-5.0920804614210226E-3</v>
      </c>
      <c r="J50" s="94">
        <f t="shared" si="31"/>
        <v>-1.9435421608477184E-4</v>
      </c>
      <c r="K50" s="94">
        <f t="shared" si="32"/>
        <v>-2.3322505930172617E-4</v>
      </c>
      <c r="L50" s="72">
        <f t="shared" si="33"/>
        <v>-2.6479726430061028</v>
      </c>
      <c r="M50" s="96">
        <f t="shared" si="22"/>
        <v>-47.043564179977636</v>
      </c>
      <c r="N50" s="96">
        <f t="shared" si="23"/>
        <v>-80.503340745169609</v>
      </c>
      <c r="O50" s="96">
        <f t="shared" si="24"/>
        <v>-1.2554279999763684</v>
      </c>
      <c r="P50" s="134">
        <f t="shared" si="25"/>
        <v>-128.80233292512361</v>
      </c>
      <c r="Q50" s="134">
        <f t="shared" si="38"/>
        <v>-3.1796349448555299</v>
      </c>
      <c r="R50" s="133">
        <f t="shared" si="6"/>
        <v>-1</v>
      </c>
      <c r="S50" s="133">
        <f t="shared" si="7"/>
        <v>-54</v>
      </c>
      <c r="T50" s="133">
        <f t="shared" si="8"/>
        <v>-89</v>
      </c>
      <c r="U50" s="141">
        <f t="shared" si="9"/>
        <v>-5.470181881392748E-3</v>
      </c>
      <c r="V50" s="141">
        <f t="shared" si="10"/>
        <v>-2.0785783822661918E-4</v>
      </c>
      <c r="W50" s="141">
        <f t="shared" si="11"/>
        <v>-5.97822857131604E-4</v>
      </c>
      <c r="X50" s="134">
        <f t="shared" si="12"/>
        <v>-3.1796349448555299</v>
      </c>
    </row>
    <row r="51" spans="1:25">
      <c r="A51" s="64">
        <f>IF((B51&gt;(Inputs!$B$7+Inputs!$B$8)),0,IF((B51&lt;Inputs!$B$7),0,((B51-Inputs!$B$7))))</f>
        <v>9</v>
      </c>
      <c r="B51" s="7">
        <f t="shared" si="13"/>
        <v>2034</v>
      </c>
      <c r="C51" s="17">
        <f>IF((A51&gt;0),(Traffic_related_data!Z69*Inputs!$B$14),0)</f>
        <v>-1421.8007040434034</v>
      </c>
      <c r="D51" s="94">
        <f t="shared" si="34"/>
        <v>-4.3883463365482564E-4</v>
      </c>
      <c r="E51" s="94">
        <f t="shared" si="35"/>
        <v>-1.5672665487672342E-5</v>
      </c>
      <c r="F51" s="94">
        <f t="shared" si="36"/>
        <v>-4.231619681671533E-4</v>
      </c>
      <c r="G51" s="72">
        <f t="shared" si="37"/>
        <v>-0.61706150555483708</v>
      </c>
      <c r="H51" s="17">
        <f>IF((A51&gt;0),(Traffic_related_data!AA69*Inputs!$B$14),0)</f>
        <v>-5378.8545647890069</v>
      </c>
      <c r="I51" s="94">
        <f t="shared" si="30"/>
        <v>-7.7672133907346341E-3</v>
      </c>
      <c r="J51" s="94">
        <f t="shared" si="31"/>
        <v>-2.9645852636391734E-4</v>
      </c>
      <c r="K51" s="94">
        <f t="shared" si="32"/>
        <v>-3.5575023163670081E-4</v>
      </c>
      <c r="L51" s="72">
        <f t="shared" si="33"/>
        <v>-4.0390894697913611</v>
      </c>
      <c r="M51" s="96">
        <f t="shared" si="22"/>
        <v>-70.572013009749355</v>
      </c>
      <c r="N51" s="96">
        <f t="shared" si="23"/>
        <v>-120.88841060412068</v>
      </c>
      <c r="O51" s="96">
        <f t="shared" si="24"/>
        <v>-1.6357156195880935</v>
      </c>
      <c r="P51" s="134">
        <f t="shared" si="25"/>
        <v>-193.09613923345813</v>
      </c>
      <c r="Q51" s="134">
        <f t="shared" si="38"/>
        <v>-4.6561509753461978</v>
      </c>
      <c r="R51" s="133">
        <f t="shared" si="6"/>
        <v>-2</v>
      </c>
      <c r="S51" s="133">
        <f t="shared" si="7"/>
        <v>-77</v>
      </c>
      <c r="T51" s="133">
        <f t="shared" si="8"/>
        <v>-130</v>
      </c>
      <c r="U51" s="141">
        <f t="shared" si="9"/>
        <v>-8.2060480243894597E-3</v>
      </c>
      <c r="V51" s="141">
        <f t="shared" si="10"/>
        <v>-3.1213119185158968E-4</v>
      </c>
      <c r="W51" s="141">
        <f t="shared" si="11"/>
        <v>-7.7891219980385411E-4</v>
      </c>
      <c r="X51" s="134">
        <f t="shared" si="12"/>
        <v>-4.6561509753461978</v>
      </c>
    </row>
    <row r="52" spans="1:25">
      <c r="A52" s="64">
        <f>IF((B52&gt;(Inputs!$B$7+Inputs!$B$8)),0,IF((B52&lt;Inputs!$B$7),0,((B52-Inputs!$B$7))))</f>
        <v>10</v>
      </c>
      <c r="B52" s="7">
        <f t="shared" si="13"/>
        <v>2035</v>
      </c>
      <c r="C52" s="17">
        <f>IF((A52&gt;0),(Traffic_related_data!Z70*Inputs!$B$14),0)</f>
        <v>-1641.4734874151154</v>
      </c>
      <c r="D52" s="94">
        <f>IF((A52&gt;0),($C52*$H$18/$F$11),0)</f>
        <v>-3.6188285463606998E-4</v>
      </c>
      <c r="E52" s="94">
        <f>IF((A52&gt;0),($C52*$I$18/$F$11),0)</f>
        <v>-1.8094142731803495E-5</v>
      </c>
      <c r="F52" s="94">
        <f>IF((A52&gt;0),($C52*$J$18/$F$11),0)</f>
        <v>-3.7997699736787343E-4</v>
      </c>
      <c r="G52" s="72">
        <f>IF((A52&gt;0),($C52*$K$18/$F$12),0)</f>
        <v>-0.6516649745038009</v>
      </c>
      <c r="H52" s="17">
        <f>IF((A52&gt;0),(Traffic_related_data!AA70*Inputs!$B$14),0)</f>
        <v>-7292.684337862157</v>
      </c>
      <c r="I52" s="94">
        <f t="shared" si="30"/>
        <v>-1.0530836028593315E-2</v>
      </c>
      <c r="J52" s="94">
        <f t="shared" si="31"/>
        <v>-4.0194030643485936E-4</v>
      </c>
      <c r="K52" s="94">
        <f t="shared" si="32"/>
        <v>-4.8232836772183114E-4</v>
      </c>
      <c r="L52" s="72">
        <f t="shared" si="33"/>
        <v>-5.4762225229874506</v>
      </c>
      <c r="M52" s="96">
        <f t="shared" si="22"/>
        <v>-93.67738239577271</v>
      </c>
      <c r="N52" s="96">
        <f t="shared" si="23"/>
        <v>-162.67934216224853</v>
      </c>
      <c r="O52" s="96">
        <f t="shared" si="24"/>
        <v>-1.8108412666883797</v>
      </c>
      <c r="P52" s="134">
        <f t="shared" si="25"/>
        <v>-258.16756582470964</v>
      </c>
      <c r="Q52" s="134">
        <f>(G52+L52)*$C$25</f>
        <v>-12.255774994982502</v>
      </c>
      <c r="R52" s="133">
        <f t="shared" si="6"/>
        <v>-4</v>
      </c>
      <c r="S52" s="133">
        <f t="shared" si="7"/>
        <v>-98</v>
      </c>
      <c r="T52" s="133">
        <f t="shared" si="8"/>
        <v>-170</v>
      </c>
      <c r="U52" s="141">
        <f t="shared" si="9"/>
        <v>-1.0892718883229385E-2</v>
      </c>
      <c r="V52" s="141">
        <f t="shared" si="10"/>
        <v>-4.2003444916666286E-4</v>
      </c>
      <c r="W52" s="141">
        <f t="shared" si="11"/>
        <v>-8.6230536508970462E-4</v>
      </c>
      <c r="X52" s="134">
        <f t="shared" si="12"/>
        <v>-6.1278874974912512</v>
      </c>
    </row>
    <row r="53" spans="1:25">
      <c r="A53" s="64">
        <f>IF((B53&gt;(Inputs!$B$7+Inputs!$B$8)),0,IF((B53&lt;Inputs!$B$7),0,((B53-Inputs!$B$7))))</f>
        <v>11</v>
      </c>
      <c r="B53" s="7">
        <f t="shared" si="13"/>
        <v>2036</v>
      </c>
      <c r="C53" s="17">
        <f>IF((A53&gt;0),(Traffic_related_data!Z71*Inputs!$B$14),0)</f>
        <v>-1815.3499791312968</v>
      </c>
      <c r="D53" s="94">
        <f t="shared" ref="D53:D66" si="39">IF((A53&gt;0),($C53*$H$18/$F$11),0)</f>
        <v>-4.0021604835426005E-4</v>
      </c>
      <c r="E53" s="94">
        <f t="shared" ref="E53:E66" si="40">IF((A53&gt;0),($C53*$I$18/$F$11),0)</f>
        <v>-2.0010802417713001E-5</v>
      </c>
      <c r="F53" s="94">
        <f t="shared" ref="F53:F66" si="41">IF((A53&gt;0),($C53*$J$18/$F$11),0)</f>
        <v>-4.20226850771973E-4</v>
      </c>
      <c r="G53" s="72">
        <f t="shared" ref="G53:G66" si="42">IF((A53&gt;0),($C53*$K$18/$F$12),0)</f>
        <v>-0.72069394171512491</v>
      </c>
      <c r="H53" s="17">
        <f>IF((A53&gt;0),(Traffic_related_data!AA71*Inputs!$B$14),0)</f>
        <v>-4038.8651630941263</v>
      </c>
      <c r="I53" s="94">
        <f t="shared" si="30"/>
        <v>-5.8322319743528677E-3</v>
      </c>
      <c r="J53" s="94">
        <f t="shared" si="31"/>
        <v>-2.2260427383026209E-4</v>
      </c>
      <c r="K53" s="94">
        <f t="shared" si="32"/>
        <v>-2.6712512859631448E-4</v>
      </c>
      <c r="L53" s="72">
        <f t="shared" si="33"/>
        <v>-3.0328646282706408</v>
      </c>
      <c r="M53" s="96">
        <f t="shared" si="22"/>
        <v>-53.599052995281298</v>
      </c>
      <c r="N53" s="96">
        <f t="shared" si="23"/>
        <v>-93.964819030840758</v>
      </c>
      <c r="O53" s="96">
        <f t="shared" si="24"/>
        <v>-1.4434391566734037</v>
      </c>
      <c r="P53" s="134">
        <f t="shared" si="25"/>
        <v>-149.00731118279546</v>
      </c>
      <c r="Q53" s="134">
        <f>(G53+L53)*$C$25</f>
        <v>-7.5071171399715313</v>
      </c>
      <c r="R53" s="133">
        <f t="shared" si="6"/>
        <v>-3</v>
      </c>
      <c r="S53" s="133">
        <f t="shared" si="7"/>
        <v>-53</v>
      </c>
      <c r="T53" s="133">
        <f t="shared" si="8"/>
        <v>-96</v>
      </c>
      <c r="U53" s="141">
        <f t="shared" si="9"/>
        <v>-6.2324480227071277E-3</v>
      </c>
      <c r="V53" s="141">
        <f t="shared" si="10"/>
        <v>-2.4261507624797509E-4</v>
      </c>
      <c r="W53" s="141">
        <f t="shared" si="11"/>
        <v>-6.8735197936828753E-4</v>
      </c>
      <c r="X53" s="134">
        <f t="shared" si="12"/>
        <v>-3.7535585699857656</v>
      </c>
    </row>
    <row r="54" spans="1:25">
      <c r="A54" s="64">
        <f>IF((B54&gt;(Inputs!$B$7+Inputs!$B$8)),0,IF((B54&lt;Inputs!$B$7),0,((B54-Inputs!$B$7))))</f>
        <v>12</v>
      </c>
      <c r="B54" s="7">
        <f t="shared" si="13"/>
        <v>2037</v>
      </c>
      <c r="C54" s="17">
        <f>IF((A54&gt;0),(Traffic_related_data!Z72*Inputs!$B$14),0)</f>
        <v>-1989.1647977719749</v>
      </c>
      <c r="D54" s="94">
        <f t="shared" si="39"/>
        <v>-4.3853564549060556E-4</v>
      </c>
      <c r="E54" s="94">
        <f t="shared" si="40"/>
        <v>-2.1926782274530279E-5</v>
      </c>
      <c r="F54" s="94">
        <f t="shared" si="41"/>
        <v>-4.6046242776513578E-4</v>
      </c>
      <c r="G54" s="72">
        <f t="shared" si="42"/>
        <v>-0.78969842471547402</v>
      </c>
      <c r="H54" s="17">
        <f>IF((A54&gt;0),(Traffic_related_data!AA72*Inputs!$B$14),0)</f>
        <v>-789.92745539477926</v>
      </c>
      <c r="I54" s="94">
        <f t="shared" si="30"/>
        <v>-1.1406768923286439E-3</v>
      </c>
      <c r="J54" s="94">
        <f t="shared" si="31"/>
        <v>-4.3537285966742141E-5</v>
      </c>
      <c r="K54" s="94">
        <f t="shared" si="32"/>
        <v>-5.2244743160090558E-5</v>
      </c>
      <c r="L54" s="72">
        <f t="shared" si="33"/>
        <v>-0.59317232480504756</v>
      </c>
      <c r="M54" s="96">
        <f t="shared" si="22"/>
        <v>-13.581227825245545</v>
      </c>
      <c r="N54" s="96">
        <f t="shared" si="23"/>
        <v>-25.35423362984481</v>
      </c>
      <c r="O54" s="96">
        <f t="shared" si="24"/>
        <v>-1.0766850589429755</v>
      </c>
      <c r="P54" s="134">
        <f t="shared" si="25"/>
        <v>-40.012146514033333</v>
      </c>
      <c r="Q54" s="134">
        <f t="shared" ref="Q54:Q56" si="43">(G54+L54)*$C$25</f>
        <v>-2.7657414990410434</v>
      </c>
      <c r="R54" s="133">
        <f t="shared" si="6"/>
        <v>-1</v>
      </c>
      <c r="S54" s="133">
        <f t="shared" si="7"/>
        <v>-14</v>
      </c>
      <c r="T54" s="133">
        <f t="shared" si="8"/>
        <v>-25</v>
      </c>
      <c r="U54" s="141">
        <f t="shared" si="9"/>
        <v>-1.5792125378192494E-3</v>
      </c>
      <c r="V54" s="141">
        <f t="shared" si="10"/>
        <v>-6.5464068241272424E-5</v>
      </c>
      <c r="W54" s="141">
        <f t="shared" si="11"/>
        <v>-5.1270717092522639E-4</v>
      </c>
      <c r="X54" s="134">
        <f t="shared" si="12"/>
        <v>-1.3828707495205217</v>
      </c>
    </row>
    <row r="55" spans="1:25">
      <c r="A55" s="64">
        <f>IF((B55&gt;(Inputs!$B$7+Inputs!$B$8)),0,IF((B55&lt;Inputs!$B$7),0,((B55-Inputs!$B$7))))</f>
        <v>13</v>
      </c>
      <c r="B55" s="7">
        <f t="shared" si="13"/>
        <v>2038</v>
      </c>
      <c r="C55" s="17">
        <f>IF((A55&gt;0),(Traffic_related_data!Z73*Inputs!$B$14),0)</f>
        <v>-2162.9200002125476</v>
      </c>
      <c r="D55" s="94">
        <f t="shared" si="39"/>
        <v>-4.7684209950837983E-4</v>
      </c>
      <c r="E55" s="94">
        <f t="shared" si="40"/>
        <v>-2.3842104975418989E-5</v>
      </c>
      <c r="F55" s="94">
        <f t="shared" si="41"/>
        <v>-5.0068420448379876E-4</v>
      </c>
      <c r="G55" s="72">
        <f t="shared" si="42"/>
        <v>-0.85867924008438146</v>
      </c>
      <c r="H55" s="17">
        <f>IF((A55&gt;0),(Traffic_related_data!AA73*Inputs!$B$14),0)</f>
        <v>2454.3049882999767</v>
      </c>
      <c r="I55" s="94">
        <f t="shared" si="30"/>
        <v>3.5440836595324763E-3</v>
      </c>
      <c r="J55" s="94">
        <f t="shared" si="31"/>
        <v>1.3527036868444565E-4</v>
      </c>
      <c r="K55" s="94">
        <f t="shared" si="32"/>
        <v>1.623244424213348E-4</v>
      </c>
      <c r="L55" s="72">
        <f t="shared" si="33"/>
        <v>1.8429867018142185</v>
      </c>
      <c r="M55" s="96">
        <f t="shared" si="22"/>
        <v>26.378277416207229</v>
      </c>
      <c r="N55" s="96">
        <f t="shared" si="23"/>
        <v>43.156166534506028</v>
      </c>
      <c r="O55" s="96">
        <f t="shared" si="24"/>
        <v>-0.71055550033117432</v>
      </c>
      <c r="P55" s="134">
        <f t="shared" si="25"/>
        <v>68.823888450382086</v>
      </c>
      <c r="Q55" s="134">
        <f t="shared" si="43"/>
        <v>1.9686149234596741</v>
      </c>
      <c r="R55" s="133">
        <f t="shared" si="6"/>
        <v>1</v>
      </c>
      <c r="S55" s="133">
        <f t="shared" si="7"/>
        <v>21</v>
      </c>
      <c r="T55" s="133">
        <f t="shared" si="8"/>
        <v>41</v>
      </c>
      <c r="U55" s="141">
        <f t="shared" si="9"/>
        <v>3.0672415600240966E-3</v>
      </c>
      <c r="V55" s="141">
        <f t="shared" si="10"/>
        <v>1.1142826370902667E-4</v>
      </c>
      <c r="W55" s="141">
        <f t="shared" si="11"/>
        <v>-3.3835976206246396E-4</v>
      </c>
      <c r="X55" s="134">
        <f t="shared" si="12"/>
        <v>0.98430746172983707</v>
      </c>
    </row>
    <row r="56" spans="1:25">
      <c r="A56" s="64">
        <f>IF((B56&gt;(Inputs!$B$7+Inputs!$B$8)),0,IF((B56&lt;Inputs!$B$7),0,((B56-Inputs!$B$7))))</f>
        <v>14</v>
      </c>
      <c r="B56" s="7">
        <f t="shared" si="13"/>
        <v>2039</v>
      </c>
      <c r="C56" s="17">
        <f>IF((A56&gt;0),(Traffic_related_data!Z74*Inputs!$B$14),0)</f>
        <v>-2336.6175528616623</v>
      </c>
      <c r="D56" s="94">
        <f t="shared" si="39"/>
        <v>-5.151358439263573E-4</v>
      </c>
      <c r="E56" s="94">
        <f t="shared" si="40"/>
        <v>-2.5756792196317865E-5</v>
      </c>
      <c r="F56" s="94">
        <f t="shared" si="41"/>
        <v>-5.4089263612267522E-4</v>
      </c>
      <c r="G56" s="72">
        <f t="shared" si="42"/>
        <v>-0.92763716848607991</v>
      </c>
      <c r="H56" s="17">
        <f>IF((A56&gt;0),(Traffic_related_data!AA74*Inputs!$B$14),0)</f>
        <v>5694.0000000000409</v>
      </c>
      <c r="I56" s="94">
        <f t="shared" si="30"/>
        <v>8.2222920352519654E-3</v>
      </c>
      <c r="J56" s="94">
        <f t="shared" si="31"/>
        <v>3.1382794027679255E-4</v>
      </c>
      <c r="K56" s="94">
        <f t="shared" si="32"/>
        <v>3.7659352833215102E-4</v>
      </c>
      <c r="L56" s="72">
        <f t="shared" si="33"/>
        <v>4.2757384800000304</v>
      </c>
      <c r="M56" s="96">
        <f t="shared" si="22"/>
        <v>66.281543245400229</v>
      </c>
      <c r="N56" s="96">
        <f t="shared" si="23"/>
        <v>111.56995565156784</v>
      </c>
      <c r="O56" s="96">
        <f t="shared" si="24"/>
        <v>-0.34502812636010083</v>
      </c>
      <c r="P56" s="134">
        <f t="shared" si="25"/>
        <v>177.50647077060796</v>
      </c>
      <c r="Q56" s="134">
        <f t="shared" si="43"/>
        <v>6.6962026230279008</v>
      </c>
      <c r="R56" s="133">
        <f t="shared" si="6"/>
        <v>2</v>
      </c>
      <c r="S56" s="133">
        <f t="shared" si="7"/>
        <v>51</v>
      </c>
      <c r="T56" s="133">
        <f t="shared" si="8"/>
        <v>103</v>
      </c>
      <c r="U56" s="141">
        <f t="shared" si="9"/>
        <v>7.7071561913256079E-3</v>
      </c>
      <c r="V56" s="141">
        <f t="shared" si="10"/>
        <v>2.8807114808047468E-4</v>
      </c>
      <c r="W56" s="141">
        <f t="shared" si="11"/>
        <v>-1.6429910779052419E-4</v>
      </c>
      <c r="X56" s="134">
        <f t="shared" si="12"/>
        <v>3.3481013115139504</v>
      </c>
    </row>
    <row r="57" spans="1:25">
      <c r="A57" s="64">
        <f>IF((B57&gt;(Inputs!$B$7+Inputs!$B$8)),0,IF((B57&lt;Inputs!$B$7),0,((B57-Inputs!$B$7))))</f>
        <v>15</v>
      </c>
      <c r="B57" s="7">
        <f t="shared" si="13"/>
        <v>2040</v>
      </c>
      <c r="C57" s="17">
        <f>IF((A57&gt;0),(Traffic_related_data!Z75*Inputs!$B$14),0)</f>
        <v>-2510.2593365889174</v>
      </c>
      <c r="D57" s="94">
        <f t="shared" si="39"/>
        <v>-5.5341729340518584E-4</v>
      </c>
      <c r="E57" s="94">
        <f t="shared" si="40"/>
        <v>-2.767086467025929E-5</v>
      </c>
      <c r="F57" s="94">
        <f t="shared" si="41"/>
        <v>-5.8108815807544499E-4</v>
      </c>
      <c r="G57" s="72">
        <f t="shared" si="42"/>
        <v>-0.99657295662580025</v>
      </c>
      <c r="H57" s="17">
        <f>IF((A57&gt;0),(Traffic_related_data!AA75*Inputs!$B$14),0)</f>
        <v>8929.3175315259377</v>
      </c>
      <c r="I57" s="94">
        <f t="shared" si="30"/>
        <v>1.2894179209641891E-2</v>
      </c>
      <c r="J57" s="94">
        <f t="shared" si="31"/>
        <v>4.9214424464282024E-4</v>
      </c>
      <c r="K57" s="94">
        <f t="shared" si="32"/>
        <v>5.9057309357138431E-4</v>
      </c>
      <c r="L57" s="72">
        <f t="shared" si="33"/>
        <v>6.705203120773457</v>
      </c>
      <c r="M57" s="96">
        <f t="shared" si="22"/>
        <v>106.13055247963567</v>
      </c>
      <c r="N57" s="96">
        <f t="shared" si="23"/>
        <v>179.89054006337284</v>
      </c>
      <c r="O57" s="96">
        <f t="shared" si="24"/>
        <v>1.9918364541472569E-2</v>
      </c>
      <c r="P57" s="134">
        <f t="shared" si="25"/>
        <v>286.04101090755</v>
      </c>
      <c r="Q57" s="134">
        <f>(G57+L57)*$C$26</f>
        <v>11.417260328295313</v>
      </c>
      <c r="R57" s="133">
        <f t="shared" si="6"/>
        <v>3</v>
      </c>
      <c r="S57" s="133">
        <f t="shared" si="7"/>
        <v>77</v>
      </c>
      <c r="T57" s="133">
        <f t="shared" si="8"/>
        <v>161</v>
      </c>
      <c r="U57" s="141">
        <f t="shared" si="9"/>
        <v>1.2340761916236705E-2</v>
      </c>
      <c r="V57" s="141">
        <f t="shared" si="10"/>
        <v>4.6447337997256093E-4</v>
      </c>
      <c r="W57" s="141">
        <f t="shared" si="11"/>
        <v>9.484935495939319E-6</v>
      </c>
      <c r="X57" s="134">
        <f t="shared" si="12"/>
        <v>5.7086301641476567</v>
      </c>
    </row>
    <row r="58" spans="1:25">
      <c r="A58" s="64">
        <f>IF((B58&gt;(Inputs!$B$7+Inputs!$B$8)),0,IF((B58&lt;Inputs!$B$7),0,((B58-Inputs!$B$7))))</f>
        <v>16</v>
      </c>
      <c r="B58" s="7">
        <f t="shared" si="13"/>
        <v>2041</v>
      </c>
      <c r="C58" s="17">
        <f>IF((A58&gt;0),(Traffic_related_data!Z76*Inputs!$B$14),0)</f>
        <v>-3975.4830311945984</v>
      </c>
      <c r="D58" s="94">
        <f t="shared" si="39"/>
        <v>-8.7644373114515763E-4</v>
      </c>
      <c r="E58" s="94">
        <f t="shared" si="40"/>
        <v>-4.3822186557257877E-5</v>
      </c>
      <c r="F58" s="94">
        <f t="shared" si="41"/>
        <v>-9.2026591770241533E-4</v>
      </c>
      <c r="G58" s="72">
        <f t="shared" si="42"/>
        <v>-1.5782667633842555</v>
      </c>
      <c r="H58" s="17">
        <f>IF((A58&gt;0),(Traffic_related_data!AA76*Inputs!$B$14),0)</f>
        <v>9886.1747022162235</v>
      </c>
      <c r="I58" s="94">
        <f t="shared" si="30"/>
        <v>1.4275907185307576E-2</v>
      </c>
      <c r="J58" s="94">
        <f t="shared" si="31"/>
        <v>5.4488195363769376E-4</v>
      </c>
      <c r="K58" s="94">
        <f t="shared" si="32"/>
        <v>6.538583443652324E-4</v>
      </c>
      <c r="L58" s="72">
        <f t="shared" si="33"/>
        <v>7.4237263073882058</v>
      </c>
      <c r="M58" s="96">
        <f t="shared" si="22"/>
        <v>115.2353857057968</v>
      </c>
      <c r="N58" s="96">
        <f t="shared" si="23"/>
        <v>194.06044779025279</v>
      </c>
      <c r="O58" s="96">
        <f t="shared" si="24"/>
        <v>-0.5594559040080842</v>
      </c>
      <c r="P58" s="134">
        <f t="shared" si="25"/>
        <v>308.73637759204149</v>
      </c>
      <c r="Q58" s="134">
        <f t="shared" ref="Q58:Q61" si="44">(G58+L58)*$C$26</f>
        <v>11.690919088007901</v>
      </c>
      <c r="R58" s="133">
        <f t="shared" si="6"/>
        <v>3</v>
      </c>
      <c r="S58" s="133">
        <f t="shared" si="7"/>
        <v>78</v>
      </c>
      <c r="T58" s="133">
        <f t="shared" si="8"/>
        <v>169</v>
      </c>
      <c r="U58" s="141">
        <f t="shared" si="9"/>
        <v>1.3399463454162418E-2</v>
      </c>
      <c r="V58" s="141">
        <f t="shared" si="10"/>
        <v>5.0105976708043583E-4</v>
      </c>
      <c r="W58" s="141">
        <f t="shared" si="11"/>
        <v>-2.6640757333718293E-4</v>
      </c>
      <c r="X58" s="134">
        <f t="shared" si="12"/>
        <v>5.8454595440039503</v>
      </c>
    </row>
    <row r="59" spans="1:25">
      <c r="A59" s="64">
        <f>IF((B59&gt;(Inputs!$B$7+Inputs!$B$8)),0,IF((B59&lt;Inputs!$B$7),0,((B59-Inputs!$B$7))))</f>
        <v>17</v>
      </c>
      <c r="B59" s="101">
        <f t="shared" si="13"/>
        <v>2042</v>
      </c>
      <c r="C59" s="17">
        <f>IF((A59&gt;0),(Traffic_related_data!Z77*Inputs!$B$14),0)</f>
        <v>-5440.4956864624437</v>
      </c>
      <c r="D59" s="94">
        <f t="shared" si="39"/>
        <v>-1.1994236426886345E-3</v>
      </c>
      <c r="E59" s="94">
        <f t="shared" si="40"/>
        <v>-5.9971182134431715E-5</v>
      </c>
      <c r="F59" s="94">
        <f t="shared" si="41"/>
        <v>-1.259394824823066E-3</v>
      </c>
      <c r="G59" s="72">
        <f t="shared" si="42"/>
        <v>-2.1598767875255902</v>
      </c>
      <c r="H59" s="17">
        <f>IF((A59&gt;0),(Traffic_related_data!AA77*Inputs!$B$14),0)</f>
        <v>10842.72220546771</v>
      </c>
      <c r="I59" s="94">
        <f t="shared" si="30"/>
        <v>1.5657187992705678E-2</v>
      </c>
      <c r="J59" s="94">
        <f t="shared" si="31"/>
        <v>5.9760259514143811E-4</v>
      </c>
      <c r="K59" s="94">
        <f t="shared" si="32"/>
        <v>7.1712311416972561E-4</v>
      </c>
      <c r="L59" s="72">
        <f t="shared" si="33"/>
        <v>8.1420169585298119</v>
      </c>
      <c r="M59" s="102">
        <f t="shared" si="22"/>
        <v>124.33677341014656</v>
      </c>
      <c r="N59" s="96">
        <f t="shared" si="23"/>
        <v>208.22464625761359</v>
      </c>
      <c r="O59" s="102">
        <f t="shared" si="24"/>
        <v>-1.1387705923720148</v>
      </c>
      <c r="P59" s="137">
        <f t="shared" si="25"/>
        <v>331.42264907538816</v>
      </c>
      <c r="Q59" s="134">
        <f t="shared" si="44"/>
        <v>11.964280342008443</v>
      </c>
      <c r="R59" s="133">
        <f t="shared" si="6"/>
        <v>3</v>
      </c>
      <c r="S59" s="133">
        <f t="shared" si="7"/>
        <v>78</v>
      </c>
      <c r="T59" s="133">
        <f t="shared" si="8"/>
        <v>176</v>
      </c>
      <c r="U59" s="141">
        <f t="shared" si="9"/>
        <v>1.4457764350017043E-2</v>
      </c>
      <c r="V59" s="141">
        <f t="shared" si="10"/>
        <v>5.3763141300700642E-4</v>
      </c>
      <c r="W59" s="141">
        <f t="shared" si="11"/>
        <v>-5.4227171065334041E-4</v>
      </c>
      <c r="X59" s="134">
        <f t="shared" si="12"/>
        <v>5.9821401710042217</v>
      </c>
    </row>
    <row r="60" spans="1:25">
      <c r="A60" s="64">
        <f>IF((B60&gt;(Inputs!$B$7+Inputs!$B$8)),0,IF((B60&lt;Inputs!$B$7),0,((B60-Inputs!$B$7))))</f>
        <v>18</v>
      </c>
      <c r="B60" s="7">
        <f t="shared" si="13"/>
        <v>2043</v>
      </c>
      <c r="C60" s="17">
        <f>IF((A60&gt;0),(Traffic_related_data!Z78*Inputs!$B$14),0)</f>
        <v>-6905.3044943043888</v>
      </c>
      <c r="D60" s="94">
        <f t="shared" si="39"/>
        <v>-1.5223586135803368E-3</v>
      </c>
      <c r="E60" s="94">
        <f t="shared" si="40"/>
        <v>-7.6117930679016834E-5</v>
      </c>
      <c r="F60" s="94">
        <f t="shared" si="41"/>
        <v>-1.5984765442593534E-3</v>
      </c>
      <c r="G60" s="72">
        <f t="shared" si="42"/>
        <v>-2.7414058842388425</v>
      </c>
      <c r="H60" s="17">
        <f>IF((A60&gt;0),(Traffic_related_data!AA78*Inputs!$B$14),0)</f>
        <v>11798.97012911934</v>
      </c>
      <c r="I60" s="94">
        <f t="shared" si="30"/>
        <v>1.7038036198952073E-2</v>
      </c>
      <c r="J60" s="94">
        <f t="shared" si="31"/>
        <v>6.5030672515084249E-4</v>
      </c>
      <c r="K60" s="94">
        <f t="shared" si="32"/>
        <v>7.8036807018101088E-4</v>
      </c>
      <c r="L60" s="72">
        <f t="shared" si="33"/>
        <v>8.8600826493582954</v>
      </c>
      <c r="M60" s="96">
        <f t="shared" si="22"/>
        <v>133.43482723419692</v>
      </c>
      <c r="N60" s="96">
        <f t="shared" si="23"/>
        <v>222.38332009893807</v>
      </c>
      <c r="O60" s="96">
        <f t="shared" si="24"/>
        <v>-1.7180277955645193</v>
      </c>
      <c r="P60" s="134">
        <f t="shared" si="25"/>
        <v>354.10011953757049</v>
      </c>
      <c r="Q60" s="134">
        <f t="shared" si="44"/>
        <v>12.237353530238906</v>
      </c>
      <c r="R60" s="133">
        <f t="shared" si="6"/>
        <v>3</v>
      </c>
      <c r="S60" s="133">
        <f t="shared" si="7"/>
        <v>78</v>
      </c>
      <c r="T60" s="133">
        <f t="shared" si="8"/>
        <v>182</v>
      </c>
      <c r="U60" s="141">
        <f t="shared" si="9"/>
        <v>1.5515677585371736E-2</v>
      </c>
      <c r="V60" s="141">
        <f t="shared" si="10"/>
        <v>5.7418879447182567E-4</v>
      </c>
      <c r="W60" s="141">
        <f t="shared" si="11"/>
        <v>-8.1810847407834256E-4</v>
      </c>
      <c r="X60" s="134">
        <f t="shared" si="12"/>
        <v>6.1186767651194529</v>
      </c>
      <c r="Y60" s="64"/>
    </row>
    <row r="61" spans="1:25">
      <c r="A61" s="64">
        <f>IF((B61&gt;(Inputs!$B$7+Inputs!$B$8)),0,IF((B61&lt;Inputs!$B$7),0,((B61-Inputs!$B$7))))</f>
        <v>19</v>
      </c>
      <c r="B61" s="7">
        <f t="shared" si="13"/>
        <v>2044</v>
      </c>
      <c r="C61" s="17">
        <f>IF((A61&gt;0),(Traffic_related_data!Z79*Inputs!$B$14),0)</f>
        <v>-8369.916323542282</v>
      </c>
      <c r="D61" s="94">
        <f t="shared" si="39"/>
        <v>-1.845250158135834E-3</v>
      </c>
      <c r="E61" s="94">
        <f t="shared" si="40"/>
        <v>-9.226250790679169E-5</v>
      </c>
      <c r="F61" s="94">
        <f t="shared" si="41"/>
        <v>-1.9375126660426255E-3</v>
      </c>
      <c r="G61" s="72">
        <f t="shared" si="42"/>
        <v>-3.3228567804462856</v>
      </c>
      <c r="H61" s="17">
        <f>IF((A61&gt;0),(Traffic_related_data!AA79*Inputs!$B$14),0)</f>
        <v>12754.928127523095</v>
      </c>
      <c r="I61" s="94">
        <f t="shared" si="30"/>
        <v>1.8418465745195584E-2</v>
      </c>
      <c r="J61" s="94">
        <f t="shared" si="31"/>
        <v>7.0299487577082389E-4</v>
      </c>
      <c r="K61" s="94">
        <f t="shared" si="32"/>
        <v>8.4359385092498858E-4</v>
      </c>
      <c r="L61" s="72">
        <f t="shared" si="33"/>
        <v>9.577930629519642</v>
      </c>
      <c r="M61" s="96">
        <f t="shared" si="22"/>
        <v>142.52965404871387</v>
      </c>
      <c r="N61" s="96">
        <f t="shared" si="23"/>
        <v>236.53664607373969</v>
      </c>
      <c r="O61" s="96">
        <f t="shared" si="24"/>
        <v>-2.2972295117470374</v>
      </c>
      <c r="P61" s="134">
        <f t="shared" si="25"/>
        <v>376.76907061070648</v>
      </c>
      <c r="Q61" s="134">
        <f t="shared" si="44"/>
        <v>12.510147698146714</v>
      </c>
      <c r="R61" s="133">
        <f t="shared" si="6"/>
        <v>2</v>
      </c>
      <c r="S61" s="133">
        <f t="shared" si="7"/>
        <v>76</v>
      </c>
      <c r="T61" s="133">
        <f t="shared" si="8"/>
        <v>187</v>
      </c>
      <c r="U61" s="141">
        <f t="shared" si="9"/>
        <v>1.657321558705975E-2</v>
      </c>
      <c r="V61" s="141">
        <f t="shared" si="10"/>
        <v>6.1073236786403221E-4</v>
      </c>
      <c r="W61" s="141">
        <f t="shared" si="11"/>
        <v>-1.0939188151176369E-3</v>
      </c>
      <c r="X61" s="134">
        <f t="shared" si="12"/>
        <v>6.2550738490733568</v>
      </c>
      <c r="Y61" s="64"/>
    </row>
    <row r="62" spans="1:25">
      <c r="A62" s="64">
        <f>IF((B62&gt;(Inputs!$B$7+Inputs!$B$8)),0,IF((B62&lt;Inputs!$B$7),0,((B62-Inputs!$B$7))))</f>
        <v>20</v>
      </c>
      <c r="B62" s="7">
        <f t="shared" si="13"/>
        <v>2045</v>
      </c>
      <c r="C62" s="17">
        <f>IF((A62&gt;0),(Traffic_related_data!Z80*Inputs!$B$14),0)</f>
        <v>-9834.3377377608322</v>
      </c>
      <c r="D62" s="94">
        <f t="shared" si="39"/>
        <v>-2.168099723377444E-3</v>
      </c>
      <c r="E62" s="94">
        <f t="shared" si="40"/>
        <v>-1.0840498616887219E-4</v>
      </c>
      <c r="F62" s="94">
        <f t="shared" si="41"/>
        <v>-2.2765047095463157E-3</v>
      </c>
      <c r="G62" s="72">
        <f t="shared" si="42"/>
        <v>-3.9042320818910508</v>
      </c>
      <c r="H62" s="17">
        <f>IF((A62&gt;0),(Traffic_related_data!AA80*Inputs!$B$14),0)</f>
        <v>13710.60544458426</v>
      </c>
      <c r="I62" s="94">
        <f t="shared" si="30"/>
        <v>1.9798489979888756E-2</v>
      </c>
      <c r="J62" s="94">
        <f t="shared" si="31"/>
        <v>7.5566755648430375E-4</v>
      </c>
      <c r="K62" s="94">
        <f t="shared" si="32"/>
        <v>9.068010677811643E-4</v>
      </c>
      <c r="L62" s="72">
        <f t="shared" si="33"/>
        <v>10.295567840447212</v>
      </c>
      <c r="M62" s="96">
        <f t="shared" si="22"/>
        <v>151.62135620599727</v>
      </c>
      <c r="N62" s="96">
        <f t="shared" si="23"/>
        <v>250.68479348316666</v>
      </c>
      <c r="O62" s="96">
        <f t="shared" si="24"/>
        <v>-2.8763776477068177</v>
      </c>
      <c r="P62" s="134">
        <f t="shared" si="25"/>
        <v>399.42977204145711</v>
      </c>
      <c r="Q62" s="134">
        <f>(G62+L62)*$C$27</f>
        <v>12.782671517112323</v>
      </c>
      <c r="R62" s="133">
        <f t="shared" si="6"/>
        <v>2</v>
      </c>
      <c r="S62" s="133">
        <f t="shared" si="7"/>
        <v>76</v>
      </c>
      <c r="T62" s="133">
        <f t="shared" si="8"/>
        <v>193</v>
      </c>
      <c r="U62" s="141">
        <f t="shared" si="9"/>
        <v>1.7630390256511311E-2</v>
      </c>
      <c r="V62" s="141">
        <f t="shared" si="10"/>
        <v>6.4726257031543161E-4</v>
      </c>
      <c r="W62" s="141">
        <f t="shared" si="11"/>
        <v>-1.3697036417651513E-3</v>
      </c>
      <c r="X62" s="134">
        <f t="shared" si="12"/>
        <v>6.3913357585561617</v>
      </c>
      <c r="Y62" s="64"/>
    </row>
    <row r="63" spans="1:25">
      <c r="A63" s="64">
        <f>IF((B63&gt;(Inputs!$B$7+Inputs!$B$8)),0,IF((B63&lt;Inputs!$B$7),0,((B63-Inputs!$B$7))))</f>
        <v>21</v>
      </c>
      <c r="B63" s="7">
        <f t="shared" si="13"/>
        <v>2046</v>
      </c>
      <c r="C63" s="17">
        <f>IF((A63&gt;0),(Traffic_related_data!Z81*Inputs!$B$14),0)</f>
        <v>-9834.3377377608322</v>
      </c>
      <c r="D63" s="94">
        <f t="shared" si="39"/>
        <v>-2.168099723377444E-3</v>
      </c>
      <c r="E63" s="94">
        <f t="shared" si="40"/>
        <v>-1.0840498616887219E-4</v>
      </c>
      <c r="F63" s="94">
        <f t="shared" si="41"/>
        <v>-2.2765047095463157E-3</v>
      </c>
      <c r="G63" s="72">
        <f t="shared" si="42"/>
        <v>-3.9042320818910508</v>
      </c>
      <c r="H63" s="17">
        <f>IF((A63&gt;0),(Traffic_related_data!AA81*Inputs!$B$14),0)</f>
        <v>13710.60544458426</v>
      </c>
      <c r="I63" s="94">
        <f t="shared" si="30"/>
        <v>1.9798489979888756E-2</v>
      </c>
      <c r="J63" s="94">
        <f t="shared" si="31"/>
        <v>7.5566755648430375E-4</v>
      </c>
      <c r="K63" s="94">
        <f t="shared" si="32"/>
        <v>9.068010677811643E-4</v>
      </c>
      <c r="L63" s="72">
        <f t="shared" si="33"/>
        <v>10.295567840447212</v>
      </c>
      <c r="M63" s="96">
        <f t="shared" si="22"/>
        <v>151.62135620599727</v>
      </c>
      <c r="N63" s="96">
        <f t="shared" si="23"/>
        <v>250.68479348316666</v>
      </c>
      <c r="O63" s="96">
        <f t="shared" si="24"/>
        <v>-2.8763776477068177</v>
      </c>
      <c r="P63" s="134">
        <f t="shared" si="25"/>
        <v>399.42977204145711</v>
      </c>
      <c r="Q63" s="134">
        <f t="shared" ref="Q63:Q66" si="45">(G63+L63)*$C$27</f>
        <v>12.782671517112323</v>
      </c>
      <c r="R63" s="133">
        <f t="shared" si="6"/>
        <v>2</v>
      </c>
      <c r="S63" s="133">
        <f t="shared" si="7"/>
        <v>71</v>
      </c>
      <c r="T63" s="133">
        <f t="shared" si="8"/>
        <v>187</v>
      </c>
      <c r="U63" s="141">
        <f t="shared" si="9"/>
        <v>1.7630390256511311E-2</v>
      </c>
      <c r="V63" s="141">
        <f t="shared" si="10"/>
        <v>6.4726257031543161E-4</v>
      </c>
      <c r="W63" s="141">
        <f t="shared" si="11"/>
        <v>-1.3697036417651513E-3</v>
      </c>
      <c r="X63" s="134">
        <f t="shared" si="12"/>
        <v>6.3913357585561617</v>
      </c>
      <c r="Y63" s="64"/>
    </row>
    <row r="64" spans="1:25">
      <c r="A64" s="64">
        <f>IF((B64&gt;(Inputs!$B$7+Inputs!$B$8)),0,IF((B64&lt;Inputs!$B$7),0,((B64-Inputs!$B$7))))</f>
        <v>22</v>
      </c>
      <c r="B64" s="7">
        <f t="shared" si="13"/>
        <v>2047</v>
      </c>
      <c r="C64" s="17">
        <f>IF((A64&gt;0),(Traffic_related_data!Z82*Inputs!$B$14),0)</f>
        <v>-9834.3377377608322</v>
      </c>
      <c r="D64" s="94">
        <f t="shared" si="39"/>
        <v>-2.168099723377444E-3</v>
      </c>
      <c r="E64" s="94">
        <f t="shared" si="40"/>
        <v>-1.0840498616887219E-4</v>
      </c>
      <c r="F64" s="94">
        <f t="shared" si="41"/>
        <v>-2.2765047095463157E-3</v>
      </c>
      <c r="G64" s="72">
        <f t="shared" si="42"/>
        <v>-3.9042320818910508</v>
      </c>
      <c r="H64" s="17">
        <f>IF((A64&gt;0),(Traffic_related_data!AA82*Inputs!$B$14),0)</f>
        <v>13710.60544458426</v>
      </c>
      <c r="I64" s="94">
        <f t="shared" si="30"/>
        <v>1.9798489979888756E-2</v>
      </c>
      <c r="J64" s="94">
        <f t="shared" si="31"/>
        <v>7.5566755648430375E-4</v>
      </c>
      <c r="K64" s="94">
        <f t="shared" si="32"/>
        <v>9.068010677811643E-4</v>
      </c>
      <c r="L64" s="72">
        <f t="shared" si="33"/>
        <v>10.295567840447212</v>
      </c>
      <c r="M64" s="96">
        <f t="shared" si="22"/>
        <v>151.62135620599727</v>
      </c>
      <c r="N64" s="96">
        <f t="shared" si="23"/>
        <v>250.68479348316666</v>
      </c>
      <c r="O64" s="96">
        <f t="shared" si="24"/>
        <v>-2.8763776477068177</v>
      </c>
      <c r="P64" s="134">
        <f t="shared" si="25"/>
        <v>399.42977204145711</v>
      </c>
      <c r="Q64" s="134">
        <f t="shared" si="45"/>
        <v>12.782671517112323</v>
      </c>
      <c r="R64" s="133">
        <f t="shared" si="6"/>
        <v>2</v>
      </c>
      <c r="S64" s="133">
        <f t="shared" si="7"/>
        <v>66</v>
      </c>
      <c r="T64" s="133">
        <f t="shared" si="8"/>
        <v>182</v>
      </c>
      <c r="U64" s="141">
        <f t="shared" si="9"/>
        <v>1.7630390256511311E-2</v>
      </c>
      <c r="V64" s="141">
        <f t="shared" si="10"/>
        <v>6.4726257031543161E-4</v>
      </c>
      <c r="W64" s="141">
        <f t="shared" si="11"/>
        <v>-1.3697036417651513E-3</v>
      </c>
      <c r="X64" s="134">
        <f t="shared" si="12"/>
        <v>6.3913357585561617</v>
      </c>
      <c r="Y64" s="64"/>
    </row>
    <row r="65" spans="1:25">
      <c r="A65" s="64">
        <f>IF((B65&gt;(Inputs!$B$7+Inputs!$B$8)),0,IF((B65&lt;Inputs!$B$7),0,((B65-Inputs!$B$7))))</f>
        <v>23</v>
      </c>
      <c r="B65" s="7">
        <f t="shared" si="13"/>
        <v>2048</v>
      </c>
      <c r="C65" s="17">
        <f>IF((A65&gt;0),(Traffic_related_data!Z83*Inputs!$B$14),0)</f>
        <v>-9834.3377377608322</v>
      </c>
      <c r="D65" s="94">
        <f t="shared" si="39"/>
        <v>-2.168099723377444E-3</v>
      </c>
      <c r="E65" s="94">
        <f t="shared" si="40"/>
        <v>-1.0840498616887219E-4</v>
      </c>
      <c r="F65" s="94">
        <f t="shared" si="41"/>
        <v>-2.2765047095463157E-3</v>
      </c>
      <c r="G65" s="72">
        <f t="shared" si="42"/>
        <v>-3.9042320818910508</v>
      </c>
      <c r="H65" s="17">
        <f>IF((A65&gt;0),(Traffic_related_data!AA83*Inputs!$B$14),0)</f>
        <v>13710.60544458426</v>
      </c>
      <c r="I65" s="94">
        <f t="shared" si="30"/>
        <v>1.9798489979888756E-2</v>
      </c>
      <c r="J65" s="94">
        <f t="shared" si="31"/>
        <v>7.5566755648430375E-4</v>
      </c>
      <c r="K65" s="94">
        <f t="shared" si="32"/>
        <v>9.068010677811643E-4</v>
      </c>
      <c r="L65" s="72">
        <f t="shared" si="33"/>
        <v>10.295567840447212</v>
      </c>
      <c r="M65" s="96">
        <f t="shared" si="22"/>
        <v>151.62135620599727</v>
      </c>
      <c r="N65" s="96">
        <f t="shared" si="23"/>
        <v>250.68479348316666</v>
      </c>
      <c r="O65" s="96">
        <f t="shared" si="24"/>
        <v>-2.8763776477068177</v>
      </c>
      <c r="P65" s="134">
        <f t="shared" si="25"/>
        <v>399.42977204145711</v>
      </c>
      <c r="Q65" s="134">
        <f t="shared" si="45"/>
        <v>12.782671517112323</v>
      </c>
      <c r="R65" s="133">
        <f t="shared" si="6"/>
        <v>2</v>
      </c>
      <c r="S65" s="133">
        <f t="shared" si="7"/>
        <v>62</v>
      </c>
      <c r="T65" s="133">
        <f t="shared" si="8"/>
        <v>177</v>
      </c>
      <c r="U65" s="141">
        <f t="shared" si="9"/>
        <v>1.7630390256511311E-2</v>
      </c>
      <c r="V65" s="141">
        <f t="shared" si="10"/>
        <v>6.4726257031543161E-4</v>
      </c>
      <c r="W65" s="141">
        <f t="shared" si="11"/>
        <v>-1.3697036417651513E-3</v>
      </c>
      <c r="X65" s="134">
        <f t="shared" si="12"/>
        <v>6.3913357585561617</v>
      </c>
      <c r="Y65" s="64"/>
    </row>
    <row r="66" spans="1:25">
      <c r="A66" s="64">
        <f>IF((B66&gt;(Inputs!$B$7+Inputs!$B$8)),0,IF((B66&lt;Inputs!$B$7),0,((B66-Inputs!$B$7))))</f>
        <v>24</v>
      </c>
      <c r="B66" s="7">
        <f t="shared" si="13"/>
        <v>2049</v>
      </c>
      <c r="C66" s="17">
        <f>IF((A66&gt;0),(Traffic_related_data!Z84*Inputs!$B$14),0)</f>
        <v>-9834.3377377608322</v>
      </c>
      <c r="D66" s="94">
        <f t="shared" si="39"/>
        <v>-2.168099723377444E-3</v>
      </c>
      <c r="E66" s="94">
        <f t="shared" si="40"/>
        <v>-1.0840498616887219E-4</v>
      </c>
      <c r="F66" s="94">
        <f t="shared" si="41"/>
        <v>-2.2765047095463157E-3</v>
      </c>
      <c r="G66" s="72">
        <f t="shared" si="42"/>
        <v>-3.9042320818910508</v>
      </c>
      <c r="H66" s="17">
        <f>IF((A66&gt;0),(Traffic_related_data!AA84*Inputs!$B$14),0)</f>
        <v>13710.60544458426</v>
      </c>
      <c r="I66" s="94">
        <f t="shared" si="30"/>
        <v>1.9798489979888756E-2</v>
      </c>
      <c r="J66" s="94">
        <f t="shared" si="31"/>
        <v>7.5566755648430375E-4</v>
      </c>
      <c r="K66" s="94">
        <f t="shared" si="32"/>
        <v>9.068010677811643E-4</v>
      </c>
      <c r="L66" s="72">
        <f t="shared" si="33"/>
        <v>10.295567840447212</v>
      </c>
      <c r="M66" s="96">
        <f t="shared" si="22"/>
        <v>151.62135620599727</v>
      </c>
      <c r="N66" s="96">
        <f t="shared" si="23"/>
        <v>250.68479348316666</v>
      </c>
      <c r="O66" s="96">
        <f t="shared" si="24"/>
        <v>-2.8763776477068177</v>
      </c>
      <c r="P66" s="134">
        <f t="shared" si="25"/>
        <v>399.42977204145711</v>
      </c>
      <c r="Q66" s="134">
        <f t="shared" si="45"/>
        <v>12.782671517112323</v>
      </c>
      <c r="R66" s="133">
        <f t="shared" si="6"/>
        <v>2</v>
      </c>
      <c r="S66" s="133">
        <f t="shared" si="7"/>
        <v>58</v>
      </c>
      <c r="T66" s="133">
        <f t="shared" si="8"/>
        <v>171</v>
      </c>
      <c r="U66" s="141">
        <f t="shared" si="9"/>
        <v>1.7630390256511311E-2</v>
      </c>
      <c r="V66" s="141">
        <f t="shared" si="10"/>
        <v>6.4726257031543161E-4</v>
      </c>
      <c r="W66" s="141">
        <f t="shared" si="11"/>
        <v>-1.3697036417651513E-3</v>
      </c>
      <c r="X66" s="134">
        <f t="shared" si="12"/>
        <v>6.3913357585561617</v>
      </c>
      <c r="Y66" s="64"/>
    </row>
    <row r="67" spans="1:25">
      <c r="A67" s="64">
        <f>IF((B67&gt;(Inputs!$B$7+Inputs!$B$8)),0,IF((B67&lt;Inputs!$B$7),0,((B67-Inputs!$B$7))))</f>
        <v>25</v>
      </c>
      <c r="B67" s="7">
        <f t="shared" si="13"/>
        <v>2050</v>
      </c>
      <c r="C67" s="17">
        <f>IF((A67&gt;0),(Traffic_related_data!Z85*Inputs!$B$14),0)</f>
        <v>-9834.3377377608322</v>
      </c>
      <c r="D67" s="94">
        <f t="shared" ref="D67:D71" si="46">IF((A67&gt;0),($C67*$H$18/$F$11),0)</f>
        <v>-2.168099723377444E-3</v>
      </c>
      <c r="E67" s="94">
        <f t="shared" ref="E67:E71" si="47">IF((A67&gt;0),($C67*$I$18/$F$11),0)</f>
        <v>-1.0840498616887219E-4</v>
      </c>
      <c r="F67" s="94">
        <f t="shared" ref="F67:F71" si="48">IF((A67&gt;0),($C67*$J$18/$F$11),0)</f>
        <v>-2.2765047095463157E-3</v>
      </c>
      <c r="G67" s="72">
        <f t="shared" ref="G67:G71" si="49">IF((A67&gt;0),($C67*$K$18/$F$12),0)</f>
        <v>-3.9042320818910508</v>
      </c>
      <c r="H67" s="17">
        <f>IF((A67&gt;0),(Traffic_related_data!AA85*Inputs!$B$14),0)</f>
        <v>13710.60544458426</v>
      </c>
      <c r="I67" s="94">
        <f t="shared" si="30"/>
        <v>1.9798489979888756E-2</v>
      </c>
      <c r="J67" s="94">
        <f t="shared" si="31"/>
        <v>7.5566755648430375E-4</v>
      </c>
      <c r="K67" s="94">
        <f t="shared" si="32"/>
        <v>9.068010677811643E-4</v>
      </c>
      <c r="L67" s="72">
        <f t="shared" si="33"/>
        <v>10.295567840447212</v>
      </c>
      <c r="M67" s="96">
        <f t="shared" ref="M67:M71" si="50">(D67+I67)*$C$17</f>
        <v>151.62135620599727</v>
      </c>
      <c r="N67" s="96">
        <f t="shared" ref="N67:N71" si="51">(E67+J67)*$C$18</f>
        <v>250.68479348316666</v>
      </c>
      <c r="O67" s="96">
        <f t="shared" ref="O67:O71" si="52">(F67+K67)*$C$16</f>
        <v>-2.8763776477068177</v>
      </c>
      <c r="P67" s="134">
        <f t="shared" ref="P67:P71" si="53">SUM(M67:O67)</f>
        <v>399.42977204145711</v>
      </c>
      <c r="Q67" s="134">
        <f t="shared" ref="Q67:Q71" si="54">(G67+L67)*$C$27</f>
        <v>12.782671517112323</v>
      </c>
      <c r="R67" s="133">
        <f t="shared" si="6"/>
        <v>2</v>
      </c>
      <c r="S67" s="133">
        <f t="shared" si="7"/>
        <v>54</v>
      </c>
      <c r="T67" s="133">
        <f t="shared" si="8"/>
        <v>167</v>
      </c>
      <c r="U67" s="141">
        <f t="shared" ref="U67:U71" si="55">D67+I67</f>
        <v>1.7630390256511311E-2</v>
      </c>
      <c r="V67" s="141">
        <f t="shared" ref="V67:V71" si="56">E67+J67</f>
        <v>6.4726257031543161E-4</v>
      </c>
      <c r="W67" s="141">
        <f t="shared" ref="W67:W71" si="57">F67+K67</f>
        <v>-1.3697036417651513E-3</v>
      </c>
      <c r="X67" s="134">
        <f t="shared" ref="X67:X71" si="58">G67+L67</f>
        <v>6.3913357585561617</v>
      </c>
      <c r="Y67" s="64"/>
    </row>
    <row r="68" spans="1:25">
      <c r="A68" s="64">
        <f>IF((B68&gt;(Inputs!$B$7+Inputs!$B$8)),0,IF((B68&lt;Inputs!$B$7),0,((B68-Inputs!$B$7))))</f>
        <v>26</v>
      </c>
      <c r="B68" s="7">
        <f t="shared" si="13"/>
        <v>2051</v>
      </c>
      <c r="C68" s="17">
        <f>IF((A68&gt;0),(Traffic_related_data!Z86*Inputs!$B$14),0)</f>
        <v>-9834.3377377608322</v>
      </c>
      <c r="D68" s="94">
        <f t="shared" si="46"/>
        <v>-2.168099723377444E-3</v>
      </c>
      <c r="E68" s="94">
        <f t="shared" si="47"/>
        <v>-1.0840498616887219E-4</v>
      </c>
      <c r="F68" s="94">
        <f t="shared" si="48"/>
        <v>-2.2765047095463157E-3</v>
      </c>
      <c r="G68" s="72">
        <f t="shared" si="49"/>
        <v>-3.9042320818910508</v>
      </c>
      <c r="H68" s="17">
        <f>IF((A68&gt;0),(Traffic_related_data!AA86*Inputs!$B$14),0)</f>
        <v>13710.60544458426</v>
      </c>
      <c r="I68" s="94">
        <f t="shared" si="30"/>
        <v>1.9798489979888756E-2</v>
      </c>
      <c r="J68" s="94">
        <f t="shared" si="31"/>
        <v>7.5566755648430375E-4</v>
      </c>
      <c r="K68" s="94">
        <f t="shared" si="32"/>
        <v>9.068010677811643E-4</v>
      </c>
      <c r="L68" s="72">
        <f t="shared" si="33"/>
        <v>10.295567840447212</v>
      </c>
      <c r="M68" s="96">
        <f t="shared" si="50"/>
        <v>151.62135620599727</v>
      </c>
      <c r="N68" s="96">
        <f t="shared" si="51"/>
        <v>250.68479348316666</v>
      </c>
      <c r="O68" s="96">
        <f t="shared" si="52"/>
        <v>-2.8763776477068177</v>
      </c>
      <c r="P68" s="134">
        <f t="shared" si="53"/>
        <v>399.42977204145711</v>
      </c>
      <c r="Q68" s="134">
        <f t="shared" si="54"/>
        <v>12.782671517112323</v>
      </c>
      <c r="R68" s="133">
        <f t="shared" si="6"/>
        <v>2</v>
      </c>
      <c r="S68" s="133">
        <f t="shared" si="7"/>
        <v>51</v>
      </c>
      <c r="T68" s="133">
        <f t="shared" si="8"/>
        <v>162</v>
      </c>
      <c r="U68" s="141">
        <f t="shared" si="55"/>
        <v>1.7630390256511311E-2</v>
      </c>
      <c r="V68" s="141">
        <f t="shared" si="56"/>
        <v>6.4726257031543161E-4</v>
      </c>
      <c r="W68" s="141">
        <f t="shared" si="57"/>
        <v>-1.3697036417651513E-3</v>
      </c>
      <c r="X68" s="134">
        <f t="shared" si="58"/>
        <v>6.3913357585561617</v>
      </c>
      <c r="Y68" s="64"/>
    </row>
    <row r="69" spans="1:25">
      <c r="A69" s="64">
        <f>IF((B69&gt;(Inputs!$B$7+Inputs!$B$8)),0,IF((B69&lt;Inputs!$B$7),0,((B69-Inputs!$B$7))))</f>
        <v>27</v>
      </c>
      <c r="B69" s="7">
        <f t="shared" si="13"/>
        <v>2052</v>
      </c>
      <c r="C69" s="17">
        <f>IF((A69&gt;0),(Traffic_related_data!Z87*Inputs!$B$14),0)</f>
        <v>-9834.3377377608322</v>
      </c>
      <c r="D69" s="94">
        <f t="shared" si="46"/>
        <v>-2.168099723377444E-3</v>
      </c>
      <c r="E69" s="94">
        <f t="shared" si="47"/>
        <v>-1.0840498616887219E-4</v>
      </c>
      <c r="F69" s="94">
        <f t="shared" si="48"/>
        <v>-2.2765047095463157E-3</v>
      </c>
      <c r="G69" s="72">
        <f t="shared" si="49"/>
        <v>-3.9042320818910508</v>
      </c>
      <c r="H69" s="17">
        <f>IF((A69&gt;0),(Traffic_related_data!AA87*Inputs!$B$14),0)</f>
        <v>13710.60544458426</v>
      </c>
      <c r="I69" s="94">
        <f t="shared" si="30"/>
        <v>1.9798489979888756E-2</v>
      </c>
      <c r="J69" s="94">
        <f t="shared" si="31"/>
        <v>7.5566755648430375E-4</v>
      </c>
      <c r="K69" s="94">
        <f t="shared" si="32"/>
        <v>9.068010677811643E-4</v>
      </c>
      <c r="L69" s="72">
        <f t="shared" si="33"/>
        <v>10.295567840447212</v>
      </c>
      <c r="M69" s="96">
        <f t="shared" si="50"/>
        <v>151.62135620599727</v>
      </c>
      <c r="N69" s="96">
        <f t="shared" si="51"/>
        <v>250.68479348316666</v>
      </c>
      <c r="O69" s="96">
        <f t="shared" si="52"/>
        <v>-2.8763776477068177</v>
      </c>
      <c r="P69" s="134">
        <f t="shared" si="53"/>
        <v>399.42977204145711</v>
      </c>
      <c r="Q69" s="134">
        <f t="shared" si="54"/>
        <v>12.782671517112323</v>
      </c>
      <c r="R69" s="133">
        <f t="shared" si="6"/>
        <v>1</v>
      </c>
      <c r="S69" s="133">
        <f t="shared" si="7"/>
        <v>47</v>
      </c>
      <c r="T69" s="133">
        <f t="shared" si="8"/>
        <v>156</v>
      </c>
      <c r="U69" s="141">
        <f t="shared" si="55"/>
        <v>1.7630390256511311E-2</v>
      </c>
      <c r="V69" s="141">
        <f t="shared" si="56"/>
        <v>6.4726257031543161E-4</v>
      </c>
      <c r="W69" s="141">
        <f t="shared" si="57"/>
        <v>-1.3697036417651513E-3</v>
      </c>
      <c r="X69" s="134">
        <f t="shared" si="58"/>
        <v>6.3913357585561617</v>
      </c>
      <c r="Y69" s="64"/>
    </row>
    <row r="70" spans="1:25">
      <c r="A70" s="64">
        <f>IF((B70&gt;(Inputs!$B$7+Inputs!$B$8)),0,IF((B70&lt;Inputs!$B$7),0,((B70-Inputs!$B$7))))</f>
        <v>28</v>
      </c>
      <c r="B70" s="7">
        <f t="shared" si="13"/>
        <v>2053</v>
      </c>
      <c r="C70" s="17">
        <f>IF((A70&gt;0),(Traffic_related_data!Z88*Inputs!$B$14),0)</f>
        <v>-9834.3377377608322</v>
      </c>
      <c r="D70" s="94">
        <f t="shared" si="46"/>
        <v>-2.168099723377444E-3</v>
      </c>
      <c r="E70" s="94">
        <f t="shared" si="47"/>
        <v>-1.0840498616887219E-4</v>
      </c>
      <c r="F70" s="94">
        <f t="shared" si="48"/>
        <v>-2.2765047095463157E-3</v>
      </c>
      <c r="G70" s="72">
        <f t="shared" si="49"/>
        <v>-3.9042320818910508</v>
      </c>
      <c r="H70" s="17">
        <f>IF((A70&gt;0),(Traffic_related_data!AA88*Inputs!$B$14),0)</f>
        <v>13710.60544458426</v>
      </c>
      <c r="I70" s="94">
        <f t="shared" si="30"/>
        <v>1.9798489979888756E-2</v>
      </c>
      <c r="J70" s="94">
        <f t="shared" si="31"/>
        <v>7.5566755648430375E-4</v>
      </c>
      <c r="K70" s="94">
        <f t="shared" si="32"/>
        <v>9.068010677811643E-4</v>
      </c>
      <c r="L70" s="72">
        <f t="shared" si="33"/>
        <v>10.295567840447212</v>
      </c>
      <c r="M70" s="96">
        <f t="shared" si="50"/>
        <v>151.62135620599727</v>
      </c>
      <c r="N70" s="96">
        <f t="shared" si="51"/>
        <v>250.68479348316666</v>
      </c>
      <c r="O70" s="96">
        <f t="shared" si="52"/>
        <v>-2.8763776477068177</v>
      </c>
      <c r="P70" s="134">
        <f t="shared" si="53"/>
        <v>399.42977204145711</v>
      </c>
      <c r="Q70" s="134">
        <f t="shared" si="54"/>
        <v>12.782671517112323</v>
      </c>
      <c r="R70" s="133">
        <f t="shared" si="6"/>
        <v>1</v>
      </c>
      <c r="S70" s="133">
        <f t="shared" si="7"/>
        <v>44</v>
      </c>
      <c r="T70" s="133">
        <f t="shared" si="8"/>
        <v>152</v>
      </c>
      <c r="U70" s="141">
        <f t="shared" si="55"/>
        <v>1.7630390256511311E-2</v>
      </c>
      <c r="V70" s="141">
        <f t="shared" si="56"/>
        <v>6.4726257031543161E-4</v>
      </c>
      <c r="W70" s="141">
        <f t="shared" si="57"/>
        <v>-1.3697036417651513E-3</v>
      </c>
      <c r="X70" s="134">
        <f t="shared" si="58"/>
        <v>6.3913357585561617</v>
      </c>
      <c r="Y70" s="64"/>
    </row>
    <row r="71" spans="1:25">
      <c r="A71" s="64">
        <f>IF((B71&gt;(Inputs!$B$7+Inputs!$B$8)),0,IF((B71&lt;Inputs!$B$7),0,((B71-Inputs!$B$7))))</f>
        <v>29</v>
      </c>
      <c r="B71" s="7">
        <f t="shared" si="13"/>
        <v>2054</v>
      </c>
      <c r="C71" s="17">
        <f>IF((A71&gt;0),(Traffic_related_data!Z89*Inputs!$B$14),0)</f>
        <v>-9834.3377377608322</v>
      </c>
      <c r="D71" s="94">
        <f t="shared" si="46"/>
        <v>-2.168099723377444E-3</v>
      </c>
      <c r="E71" s="94">
        <f t="shared" si="47"/>
        <v>-1.0840498616887219E-4</v>
      </c>
      <c r="F71" s="94">
        <f t="shared" si="48"/>
        <v>-2.2765047095463157E-3</v>
      </c>
      <c r="G71" s="72">
        <f t="shared" si="49"/>
        <v>-3.9042320818910508</v>
      </c>
      <c r="H71" s="17">
        <f>IF((A71&gt;0),(Traffic_related_data!AA89*Inputs!$B$14),0)</f>
        <v>13710.60544458426</v>
      </c>
      <c r="I71" s="94">
        <f t="shared" si="30"/>
        <v>1.9798489979888756E-2</v>
      </c>
      <c r="J71" s="94">
        <f t="shared" si="31"/>
        <v>7.5566755648430375E-4</v>
      </c>
      <c r="K71" s="94">
        <f t="shared" si="32"/>
        <v>9.068010677811643E-4</v>
      </c>
      <c r="L71" s="72">
        <f t="shared" si="33"/>
        <v>10.295567840447212</v>
      </c>
      <c r="M71" s="96">
        <f t="shared" si="50"/>
        <v>151.62135620599727</v>
      </c>
      <c r="N71" s="96">
        <f t="shared" si="51"/>
        <v>250.68479348316666</v>
      </c>
      <c r="O71" s="96">
        <f t="shared" si="52"/>
        <v>-2.8763776477068177</v>
      </c>
      <c r="P71" s="134">
        <f t="shared" si="53"/>
        <v>399.42977204145711</v>
      </c>
      <c r="Q71" s="134">
        <f t="shared" si="54"/>
        <v>12.782671517112323</v>
      </c>
      <c r="R71" s="133">
        <f t="shared" si="6"/>
        <v>1</v>
      </c>
      <c r="S71" s="133">
        <f t="shared" si="7"/>
        <v>41</v>
      </c>
      <c r="T71" s="133">
        <f t="shared" si="8"/>
        <v>147</v>
      </c>
      <c r="U71" s="141">
        <f t="shared" si="55"/>
        <v>1.7630390256511311E-2</v>
      </c>
      <c r="V71" s="141">
        <f t="shared" si="56"/>
        <v>6.4726257031543161E-4</v>
      </c>
      <c r="W71" s="141">
        <f t="shared" si="57"/>
        <v>-1.3697036417651513E-3</v>
      </c>
      <c r="X71" s="134">
        <f t="shared" si="58"/>
        <v>6.3913357585561617</v>
      </c>
      <c r="Y71" s="64"/>
    </row>
    <row r="72" spans="1:25">
      <c r="A72" s="64">
        <f>IF((B72&gt;(Inputs!$B$7+Inputs!$B$8)),0,IF((B72&lt;Inputs!$B$7),0,((B72-Inputs!$B$7))))</f>
        <v>30</v>
      </c>
      <c r="B72" s="7">
        <f t="shared" si="13"/>
        <v>2055</v>
      </c>
      <c r="C72" s="17">
        <f>IF((A72&gt;0),(Traffic_related_data!Z90*Inputs!$B$14),0)</f>
        <v>-9834.3377377608322</v>
      </c>
      <c r="D72" s="94">
        <f t="shared" ref="D72:D77" si="59">IF((A72&gt;0),($C72*$H$18/$F$11),0)</f>
        <v>-2.168099723377444E-3</v>
      </c>
      <c r="E72" s="94">
        <f t="shared" ref="E72:E77" si="60">IF((A72&gt;0),($C72*$I$18/$F$11),0)</f>
        <v>-1.0840498616887219E-4</v>
      </c>
      <c r="F72" s="94">
        <f t="shared" ref="F72:F77" si="61">IF((A72&gt;0),($C72*$J$18/$F$11),0)</f>
        <v>-2.2765047095463157E-3</v>
      </c>
      <c r="G72" s="72">
        <f t="shared" ref="G72:G77" si="62">IF((A72&gt;0),($C72*$K$18/$F$12),0)</f>
        <v>-3.9042320818910508</v>
      </c>
      <c r="H72" s="17">
        <f>IF((A72&gt;0),(Traffic_related_data!AA90*Inputs!$B$14),0)</f>
        <v>13710.60544458426</v>
      </c>
      <c r="I72" s="94">
        <f t="shared" si="30"/>
        <v>1.9798489979888756E-2</v>
      </c>
      <c r="J72" s="94">
        <f t="shared" si="31"/>
        <v>7.5566755648430375E-4</v>
      </c>
      <c r="K72" s="94">
        <f t="shared" si="32"/>
        <v>9.068010677811643E-4</v>
      </c>
      <c r="L72" s="72">
        <f t="shared" si="33"/>
        <v>10.295567840447212</v>
      </c>
      <c r="M72" s="96">
        <f t="shared" ref="M72:M77" si="63">(D72+I72)*$C$17</f>
        <v>151.62135620599727</v>
      </c>
      <c r="N72" s="96">
        <f t="shared" ref="N72:N77" si="64">(E72+J72)*$C$18</f>
        <v>250.68479348316666</v>
      </c>
      <c r="O72" s="96">
        <f t="shared" ref="O72:O77" si="65">(F72+K72)*$C$16</f>
        <v>-2.8763776477068177</v>
      </c>
      <c r="P72" s="134">
        <f t="shared" ref="P72:P77" si="66">SUM(M72:O72)</f>
        <v>399.42977204145711</v>
      </c>
      <c r="Q72" s="134">
        <f t="shared" ref="Q72:Q77" si="67">(G72+L72)*$C$27</f>
        <v>12.782671517112323</v>
      </c>
      <c r="R72" s="133">
        <f t="shared" si="6"/>
        <v>1</v>
      </c>
      <c r="S72" s="133">
        <f t="shared" si="7"/>
        <v>38</v>
      </c>
      <c r="T72" s="133">
        <f t="shared" si="8"/>
        <v>143</v>
      </c>
      <c r="U72" s="141">
        <f t="shared" ref="U72:U77" si="68">D72+I72</f>
        <v>1.7630390256511311E-2</v>
      </c>
      <c r="V72" s="141">
        <f t="shared" ref="V72:V77" si="69">E72+J72</f>
        <v>6.4726257031543161E-4</v>
      </c>
      <c r="W72" s="141">
        <f t="shared" ref="W72:W77" si="70">F72+K72</f>
        <v>-1.3697036417651513E-3</v>
      </c>
      <c r="X72" s="134">
        <f t="shared" ref="X72:X77" si="71">G72+L72</f>
        <v>6.3913357585561617</v>
      </c>
      <c r="Y72" s="64"/>
    </row>
    <row r="73" spans="1:25">
      <c r="A73" s="64">
        <f>IF((B73&gt;(Inputs!$B$7+Inputs!$B$8)),0,IF((B73&lt;Inputs!$B$7),0,((B73-Inputs!$B$7))))</f>
        <v>0</v>
      </c>
      <c r="B73" s="7">
        <f t="shared" si="13"/>
        <v>2056</v>
      </c>
      <c r="C73" s="17">
        <f>IF((A73&gt;0),(Traffic_related_data!Z91*Inputs!$B$14),0)</f>
        <v>0</v>
      </c>
      <c r="D73" s="94">
        <f t="shared" si="59"/>
        <v>0</v>
      </c>
      <c r="E73" s="94">
        <f t="shared" si="60"/>
        <v>0</v>
      </c>
      <c r="F73" s="94">
        <f t="shared" si="61"/>
        <v>0</v>
      </c>
      <c r="G73" s="72">
        <f t="shared" si="62"/>
        <v>0</v>
      </c>
      <c r="H73" s="17">
        <f>IF((A73&gt;0),(Traffic_related_data!AA91*Inputs!$B$14),0)</f>
        <v>0</v>
      </c>
      <c r="I73" s="94">
        <f t="shared" si="30"/>
        <v>0</v>
      </c>
      <c r="J73" s="94">
        <f t="shared" si="31"/>
        <v>0</v>
      </c>
      <c r="K73" s="94">
        <f t="shared" si="32"/>
        <v>0</v>
      </c>
      <c r="L73" s="72">
        <f t="shared" si="33"/>
        <v>0</v>
      </c>
      <c r="M73" s="96">
        <f t="shared" si="63"/>
        <v>0</v>
      </c>
      <c r="N73" s="96">
        <f t="shared" si="64"/>
        <v>0</v>
      </c>
      <c r="O73" s="96">
        <f t="shared" si="65"/>
        <v>0</v>
      </c>
      <c r="P73" s="134">
        <f t="shared" si="66"/>
        <v>0</v>
      </c>
      <c r="Q73" s="134">
        <f t="shared" si="67"/>
        <v>0</v>
      </c>
      <c r="R73" s="133">
        <f t="shared" si="6"/>
        <v>0</v>
      </c>
      <c r="S73" s="133">
        <f t="shared" si="7"/>
        <v>0</v>
      </c>
      <c r="T73" s="133">
        <f t="shared" si="8"/>
        <v>0</v>
      </c>
      <c r="U73" s="141">
        <f t="shared" si="68"/>
        <v>0</v>
      </c>
      <c r="V73" s="141">
        <f t="shared" si="69"/>
        <v>0</v>
      </c>
      <c r="W73" s="141">
        <f t="shared" si="70"/>
        <v>0</v>
      </c>
      <c r="X73" s="134">
        <f t="shared" si="71"/>
        <v>0</v>
      </c>
      <c r="Y73" s="64"/>
    </row>
    <row r="74" spans="1:25">
      <c r="A74" s="64">
        <f>IF((B74&gt;(Inputs!$B$7+Inputs!$B$8)),0,IF((B74&lt;Inputs!$B$7),0,((B74-Inputs!$B$7))))</f>
        <v>0</v>
      </c>
      <c r="B74" s="7">
        <f t="shared" si="13"/>
        <v>2057</v>
      </c>
      <c r="C74" s="17">
        <f>IF((A74&gt;0),(Traffic_related_data!Z92*Inputs!$B$14),0)</f>
        <v>0</v>
      </c>
      <c r="D74" s="94">
        <f t="shared" si="59"/>
        <v>0</v>
      </c>
      <c r="E74" s="94">
        <f t="shared" si="60"/>
        <v>0</v>
      </c>
      <c r="F74" s="94">
        <f t="shared" si="61"/>
        <v>0</v>
      </c>
      <c r="G74" s="72">
        <f t="shared" si="62"/>
        <v>0</v>
      </c>
      <c r="H74" s="17">
        <f>IF((A74&gt;0),(Traffic_related_data!AA92*Inputs!$B$14),0)</f>
        <v>0</v>
      </c>
      <c r="I74" s="94">
        <f t="shared" si="30"/>
        <v>0</v>
      </c>
      <c r="J74" s="94">
        <f t="shared" si="31"/>
        <v>0</v>
      </c>
      <c r="K74" s="94">
        <f t="shared" si="32"/>
        <v>0</v>
      </c>
      <c r="L74" s="72">
        <f t="shared" si="33"/>
        <v>0</v>
      </c>
      <c r="M74" s="96">
        <f t="shared" si="63"/>
        <v>0</v>
      </c>
      <c r="N74" s="96">
        <f t="shared" si="64"/>
        <v>0</v>
      </c>
      <c r="O74" s="96">
        <f t="shared" si="65"/>
        <v>0</v>
      </c>
      <c r="P74" s="134">
        <f t="shared" si="66"/>
        <v>0</v>
      </c>
      <c r="Q74" s="134">
        <f t="shared" si="67"/>
        <v>0</v>
      </c>
      <c r="R74" s="133">
        <f t="shared" si="6"/>
        <v>0</v>
      </c>
      <c r="S74" s="133">
        <f t="shared" si="7"/>
        <v>0</v>
      </c>
      <c r="T74" s="133">
        <f t="shared" si="8"/>
        <v>0</v>
      </c>
      <c r="U74" s="141">
        <f t="shared" si="68"/>
        <v>0</v>
      </c>
      <c r="V74" s="141">
        <f t="shared" si="69"/>
        <v>0</v>
      </c>
      <c r="W74" s="141">
        <f t="shared" si="70"/>
        <v>0</v>
      </c>
      <c r="X74" s="134">
        <f t="shared" si="71"/>
        <v>0</v>
      </c>
      <c r="Y74" s="64"/>
    </row>
    <row r="75" spans="1:25">
      <c r="A75" s="64">
        <f>IF((B75&gt;(Inputs!$B$7+Inputs!$B$8)),0,IF((B75&lt;Inputs!$B$7),0,((B75-Inputs!$B$7))))</f>
        <v>0</v>
      </c>
      <c r="B75" s="7">
        <f t="shared" si="13"/>
        <v>2058</v>
      </c>
      <c r="C75" s="17">
        <f>IF((A75&gt;0),(Traffic_related_data!Z93*Inputs!$B$14),0)</f>
        <v>0</v>
      </c>
      <c r="D75" s="94">
        <f t="shared" si="59"/>
        <v>0</v>
      </c>
      <c r="E75" s="94">
        <f t="shared" si="60"/>
        <v>0</v>
      </c>
      <c r="F75" s="94">
        <f t="shared" si="61"/>
        <v>0</v>
      </c>
      <c r="G75" s="72">
        <f t="shared" si="62"/>
        <v>0</v>
      </c>
      <c r="H75" s="17">
        <f>IF((A75&gt;0),(Traffic_related_data!AA93*Inputs!$B$14),0)</f>
        <v>0</v>
      </c>
      <c r="I75" s="94">
        <f t="shared" si="30"/>
        <v>0</v>
      </c>
      <c r="J75" s="94">
        <f t="shared" si="31"/>
        <v>0</v>
      </c>
      <c r="K75" s="94">
        <f t="shared" si="32"/>
        <v>0</v>
      </c>
      <c r="L75" s="72">
        <f t="shared" si="33"/>
        <v>0</v>
      </c>
      <c r="M75" s="96">
        <f t="shared" si="63"/>
        <v>0</v>
      </c>
      <c r="N75" s="96">
        <f t="shared" si="64"/>
        <v>0</v>
      </c>
      <c r="O75" s="96">
        <f t="shared" si="65"/>
        <v>0</v>
      </c>
      <c r="P75" s="134">
        <f t="shared" si="66"/>
        <v>0</v>
      </c>
      <c r="Q75" s="134">
        <f t="shared" si="67"/>
        <v>0</v>
      </c>
      <c r="R75" s="133">
        <f t="shared" si="6"/>
        <v>0</v>
      </c>
      <c r="S75" s="133">
        <f t="shared" si="7"/>
        <v>0</v>
      </c>
      <c r="T75" s="133">
        <f t="shared" si="8"/>
        <v>0</v>
      </c>
      <c r="U75" s="141">
        <f t="shared" si="68"/>
        <v>0</v>
      </c>
      <c r="V75" s="141">
        <f t="shared" si="69"/>
        <v>0</v>
      </c>
      <c r="W75" s="141">
        <f t="shared" si="70"/>
        <v>0</v>
      </c>
      <c r="X75" s="134">
        <f t="shared" si="71"/>
        <v>0</v>
      </c>
      <c r="Y75" s="64"/>
    </row>
    <row r="76" spans="1:25">
      <c r="A76" s="64">
        <f>IF((B76&gt;(Inputs!$B$7+Inputs!$B$8)),0,IF((B76&lt;Inputs!$B$7),0,((B76-Inputs!$B$7))))</f>
        <v>0</v>
      </c>
      <c r="B76" s="7">
        <f t="shared" si="13"/>
        <v>2059</v>
      </c>
      <c r="C76" s="17">
        <f>IF((A76&gt;0),(Traffic_related_data!Z94*Inputs!$B$14),0)</f>
        <v>0</v>
      </c>
      <c r="D76" s="94">
        <f t="shared" si="59"/>
        <v>0</v>
      </c>
      <c r="E76" s="94">
        <f t="shared" si="60"/>
        <v>0</v>
      </c>
      <c r="F76" s="94">
        <f t="shared" si="61"/>
        <v>0</v>
      </c>
      <c r="G76" s="72">
        <f t="shared" si="62"/>
        <v>0</v>
      </c>
      <c r="H76" s="17">
        <f>IF((A76&gt;0),(Traffic_related_data!AA94*Inputs!$B$14),0)</f>
        <v>0</v>
      </c>
      <c r="I76" s="94">
        <f t="shared" si="30"/>
        <v>0</v>
      </c>
      <c r="J76" s="94">
        <f t="shared" si="31"/>
        <v>0</v>
      </c>
      <c r="K76" s="94">
        <f t="shared" si="32"/>
        <v>0</v>
      </c>
      <c r="L76" s="72">
        <f t="shared" si="33"/>
        <v>0</v>
      </c>
      <c r="M76" s="96">
        <f t="shared" si="63"/>
        <v>0</v>
      </c>
      <c r="N76" s="96">
        <f t="shared" si="64"/>
        <v>0</v>
      </c>
      <c r="O76" s="96">
        <f t="shared" si="65"/>
        <v>0</v>
      </c>
      <c r="P76" s="134">
        <f t="shared" si="66"/>
        <v>0</v>
      </c>
      <c r="Q76" s="134">
        <f t="shared" si="67"/>
        <v>0</v>
      </c>
      <c r="R76" s="133">
        <f t="shared" si="6"/>
        <v>0</v>
      </c>
      <c r="S76" s="133">
        <f t="shared" si="7"/>
        <v>0</v>
      </c>
      <c r="T76" s="133">
        <f t="shared" si="8"/>
        <v>0</v>
      </c>
      <c r="U76" s="141">
        <f t="shared" si="68"/>
        <v>0</v>
      </c>
      <c r="V76" s="141">
        <f t="shared" si="69"/>
        <v>0</v>
      </c>
      <c r="W76" s="141">
        <f t="shared" si="70"/>
        <v>0</v>
      </c>
      <c r="X76" s="134">
        <f t="shared" si="71"/>
        <v>0</v>
      </c>
      <c r="Y76" s="64"/>
    </row>
    <row r="77" spans="1:25">
      <c r="A77" s="64">
        <f>IF((B77&gt;(Inputs!$B$7+Inputs!$B$8)),0,IF((B77&lt;Inputs!$B$7),0,((B77-Inputs!$B$7))))</f>
        <v>0</v>
      </c>
      <c r="B77" s="7">
        <f t="shared" si="13"/>
        <v>2060</v>
      </c>
      <c r="C77" s="17">
        <f>IF((A77&gt;0),(Traffic_related_data!Z95*Inputs!$B$14),0)</f>
        <v>0</v>
      </c>
      <c r="D77" s="94">
        <f t="shared" si="59"/>
        <v>0</v>
      </c>
      <c r="E77" s="94">
        <f t="shared" si="60"/>
        <v>0</v>
      </c>
      <c r="F77" s="94">
        <f t="shared" si="61"/>
        <v>0</v>
      </c>
      <c r="G77" s="72">
        <f t="shared" si="62"/>
        <v>0</v>
      </c>
      <c r="H77" s="17">
        <f>IF((A77&gt;0),(Traffic_related_data!AA95*Inputs!$B$14),0)</f>
        <v>0</v>
      </c>
      <c r="I77" s="94">
        <f t="shared" si="30"/>
        <v>0</v>
      </c>
      <c r="J77" s="94">
        <f t="shared" si="31"/>
        <v>0</v>
      </c>
      <c r="K77" s="94">
        <f t="shared" si="32"/>
        <v>0</v>
      </c>
      <c r="L77" s="72">
        <f t="shared" si="33"/>
        <v>0</v>
      </c>
      <c r="M77" s="96">
        <f t="shared" si="63"/>
        <v>0</v>
      </c>
      <c r="N77" s="96">
        <f t="shared" si="64"/>
        <v>0</v>
      </c>
      <c r="O77" s="96">
        <f t="shared" si="65"/>
        <v>0</v>
      </c>
      <c r="P77" s="134">
        <f t="shared" si="66"/>
        <v>0</v>
      </c>
      <c r="Q77" s="134">
        <f t="shared" si="67"/>
        <v>0</v>
      </c>
      <c r="R77" s="133">
        <f t="shared" si="6"/>
        <v>0</v>
      </c>
      <c r="S77" s="133">
        <f t="shared" si="7"/>
        <v>0</v>
      </c>
      <c r="T77" s="133">
        <f t="shared" si="8"/>
        <v>0</v>
      </c>
      <c r="U77" s="141">
        <f t="shared" si="68"/>
        <v>0</v>
      </c>
      <c r="V77" s="141">
        <f t="shared" si="69"/>
        <v>0</v>
      </c>
      <c r="W77" s="141">
        <f t="shared" si="70"/>
        <v>0</v>
      </c>
      <c r="X77" s="134">
        <f t="shared" si="71"/>
        <v>0</v>
      </c>
      <c r="Y77" s="64"/>
    </row>
    <row r="78" spans="1:25">
      <c r="P78" s="134"/>
      <c r="R78" s="134"/>
      <c r="S78" s="134"/>
      <c r="T78" s="134"/>
      <c r="U78" s="141"/>
    </row>
    <row r="79" spans="1:25">
      <c r="P79" s="138">
        <f>SUM(P35:P77)</f>
        <v>4453.043291713183</v>
      </c>
      <c r="R79" s="138">
        <f>SUM(R35:R77)</f>
        <v>-3</v>
      </c>
      <c r="S79" s="138">
        <f t="shared" ref="S79:T79" si="72">SUM(S35:S77)</f>
        <v>76</v>
      </c>
      <c r="T79" s="138">
        <f t="shared" si="72"/>
        <v>1446</v>
      </c>
      <c r="U79" s="141"/>
    </row>
  </sheetData>
  <mergeCells count="1">
    <mergeCell ref="A33:G33"/>
  </mergeCells>
  <hyperlinks>
    <hyperlink ref="N22" r:id="rId1" display="http://www.fmcsa.dot.gov/sites/fmcsa.dot.gov/files/docs/2011_HOS_Final_Rule_EA_Appendices.pdf" xr:uid="{00000000-0004-0000-0A00-000000000000}"/>
  </hyperlinks>
  <pageMargins left="0.7" right="0.7" top="0.75" bottom="0.75" header="0.3" footer="0.3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0.79998168889431442"/>
  </sheetPr>
  <dimension ref="A1:CN95"/>
  <sheetViews>
    <sheetView zoomScale="85" zoomScaleNormal="85" workbookViewId="0"/>
  </sheetViews>
  <sheetFormatPr defaultRowHeight="15"/>
  <cols>
    <col min="1" max="1" width="14.5703125" customWidth="1"/>
    <col min="2" max="2" width="18.28515625" bestFit="1" customWidth="1"/>
    <col min="3" max="3" width="19.85546875" customWidth="1"/>
    <col min="4" max="4" width="12.5703125" customWidth="1"/>
    <col min="5" max="5" width="18.7109375" customWidth="1"/>
    <col min="6" max="6" width="17.42578125" customWidth="1"/>
    <col min="7" max="7" width="13.28515625" customWidth="1"/>
    <col min="8" max="8" width="14.42578125" customWidth="1"/>
    <col min="9" max="9" width="14.28515625" customWidth="1"/>
    <col min="13" max="13" width="10.28515625" bestFit="1" customWidth="1"/>
    <col min="14" max="15" width="9.28515625" bestFit="1" customWidth="1"/>
    <col min="20" max="27" width="9.140625" style="64"/>
    <col min="29" max="29" width="12.5703125" customWidth="1"/>
    <col min="30" max="30" width="13" bestFit="1" customWidth="1"/>
    <col min="31" max="32" width="13" style="64" customWidth="1"/>
    <col min="33" max="34" width="14.85546875" bestFit="1" customWidth="1"/>
    <col min="37" max="92" width="9.140625" style="64"/>
  </cols>
  <sheetData>
    <row r="1" spans="1:28" ht="15.75" thickBot="1">
      <c r="A1" s="205"/>
    </row>
    <row r="2" spans="1:28" ht="15.75" customHeight="1" thickTop="1" thickBot="1">
      <c r="A2" s="655" t="s">
        <v>301</v>
      </c>
      <c r="B2" s="656"/>
      <c r="C2" s="656"/>
      <c r="D2" s="657"/>
      <c r="E2" s="649" t="s">
        <v>334</v>
      </c>
      <c r="F2" s="649" t="s">
        <v>335</v>
      </c>
      <c r="G2" s="649" t="s">
        <v>332</v>
      </c>
      <c r="H2" s="649" t="s">
        <v>333</v>
      </c>
      <c r="I2" s="649" t="s">
        <v>336</v>
      </c>
      <c r="K2" s="652" t="s">
        <v>0</v>
      </c>
      <c r="L2" s="635" t="s">
        <v>343</v>
      </c>
      <c r="M2" s="636"/>
      <c r="N2" s="636"/>
      <c r="O2" s="636"/>
      <c r="P2" s="637"/>
      <c r="Q2" s="637"/>
      <c r="R2" s="637"/>
      <c r="S2" s="638"/>
      <c r="T2" s="635" t="s">
        <v>485</v>
      </c>
      <c r="U2" s="636"/>
      <c r="V2" s="636"/>
      <c r="W2" s="636"/>
      <c r="X2" s="637"/>
      <c r="Y2" s="637"/>
      <c r="Z2" s="637"/>
      <c r="AA2" s="638"/>
    </row>
    <row r="3" spans="1:28">
      <c r="A3" s="655"/>
      <c r="B3" s="656"/>
      <c r="C3" s="656"/>
      <c r="D3" s="657"/>
      <c r="E3" s="650"/>
      <c r="F3" s="650"/>
      <c r="G3" s="650"/>
      <c r="H3" s="650"/>
      <c r="I3" s="650"/>
      <c r="K3" s="653"/>
      <c r="L3" s="639" t="s">
        <v>235</v>
      </c>
      <c r="M3" s="640"/>
      <c r="N3" s="640"/>
      <c r="O3" s="641"/>
      <c r="P3" s="635" t="s">
        <v>237</v>
      </c>
      <c r="Q3" s="636"/>
      <c r="R3" s="636"/>
      <c r="S3" s="642"/>
      <c r="T3" s="639" t="s">
        <v>235</v>
      </c>
      <c r="U3" s="640"/>
      <c r="V3" s="640"/>
      <c r="W3" s="641"/>
      <c r="X3" s="635" t="s">
        <v>237</v>
      </c>
      <c r="Y3" s="636"/>
      <c r="Z3" s="636"/>
      <c r="AA3" s="642"/>
    </row>
    <row r="4" spans="1:28" ht="15" customHeight="1" thickBot="1">
      <c r="A4" s="655"/>
      <c r="B4" s="656"/>
      <c r="C4" s="656"/>
      <c r="D4" s="657"/>
      <c r="E4" s="651"/>
      <c r="F4" s="651"/>
      <c r="G4" s="651"/>
      <c r="H4" s="651"/>
      <c r="I4" s="651"/>
      <c r="K4" s="654"/>
      <c r="L4" s="144" t="s">
        <v>344</v>
      </c>
      <c r="M4" s="145" t="s">
        <v>341</v>
      </c>
      <c r="N4" s="145" t="s">
        <v>340</v>
      </c>
      <c r="O4" s="152" t="s">
        <v>342</v>
      </c>
      <c r="P4" s="144" t="s">
        <v>344</v>
      </c>
      <c r="Q4" s="145" t="s">
        <v>341</v>
      </c>
      <c r="R4" s="145" t="s">
        <v>340</v>
      </c>
      <c r="S4" s="146" t="s">
        <v>342</v>
      </c>
      <c r="T4" s="144" t="s">
        <v>344</v>
      </c>
      <c r="U4" s="145" t="s">
        <v>341</v>
      </c>
      <c r="V4" s="145" t="s">
        <v>340</v>
      </c>
      <c r="W4" s="152" t="s">
        <v>342</v>
      </c>
      <c r="X4" s="144" t="s">
        <v>344</v>
      </c>
      <c r="Y4" s="145" t="s">
        <v>341</v>
      </c>
      <c r="Z4" s="145" t="s">
        <v>340</v>
      </c>
      <c r="AA4" s="146" t="s">
        <v>342</v>
      </c>
    </row>
    <row r="5" spans="1:28" ht="15" customHeight="1" thickTop="1">
      <c r="A5" s="646" t="s">
        <v>302</v>
      </c>
      <c r="B5" s="647"/>
      <c r="C5" s="647"/>
      <c r="D5" s="648"/>
      <c r="E5" s="226">
        <v>5600</v>
      </c>
      <c r="F5" s="226">
        <v>7400</v>
      </c>
      <c r="G5" s="227">
        <v>0.05</v>
      </c>
      <c r="H5" s="226">
        <f>ROUND((E5*G5),0)</f>
        <v>280</v>
      </c>
      <c r="I5" s="226">
        <f>ROUND((F5*G5),0)</f>
        <v>370</v>
      </c>
      <c r="K5" s="155">
        <v>2019</v>
      </c>
      <c r="L5" s="379">
        <v>24807</v>
      </c>
      <c r="M5" s="380">
        <v>89549.7</v>
      </c>
      <c r="N5" s="380">
        <v>2059</v>
      </c>
      <c r="O5" s="381">
        <v>475.3</v>
      </c>
      <c r="P5" s="379">
        <v>1584</v>
      </c>
      <c r="Q5" s="380">
        <v>6583.7</v>
      </c>
      <c r="R5" s="380">
        <v>164.2</v>
      </c>
      <c r="S5" s="382">
        <v>48.1</v>
      </c>
      <c r="T5" s="379">
        <v>24801</v>
      </c>
      <c r="U5" s="383">
        <v>89648.8</v>
      </c>
      <c r="V5" s="380">
        <v>2017.9</v>
      </c>
      <c r="W5" s="384">
        <v>432.4</v>
      </c>
      <c r="X5" s="379">
        <v>1590</v>
      </c>
      <c r="Y5" s="383">
        <v>6615.2</v>
      </c>
      <c r="Z5" s="383">
        <v>163.30000000000001</v>
      </c>
      <c r="AA5" s="385">
        <v>46.5</v>
      </c>
      <c r="AB5" s="16"/>
    </row>
    <row r="6" spans="1:28" ht="15" customHeight="1">
      <c r="A6" s="643" t="s">
        <v>303</v>
      </c>
      <c r="B6" s="644"/>
      <c r="C6" s="644"/>
      <c r="D6" s="645"/>
      <c r="E6" s="228">
        <v>4400</v>
      </c>
      <c r="F6" s="228">
        <v>5700</v>
      </c>
      <c r="G6" s="229">
        <v>0.05</v>
      </c>
      <c r="H6" s="228">
        <f t="shared" ref="H6:H31" si="0">ROUND((E6*G6),0)</f>
        <v>220</v>
      </c>
      <c r="I6" s="228">
        <f t="shared" ref="I6:I30" si="1">ROUND((F6*G6),0)</f>
        <v>285</v>
      </c>
      <c r="K6" s="160">
        <v>2020</v>
      </c>
      <c r="L6" s="334">
        <v>25063</v>
      </c>
      <c r="M6" s="386">
        <v>90261.4</v>
      </c>
      <c r="N6" s="386">
        <v>2056.1</v>
      </c>
      <c r="O6" s="387">
        <v>459.7</v>
      </c>
      <c r="P6" s="334">
        <v>1607</v>
      </c>
      <c r="Q6" s="386">
        <v>6726.9</v>
      </c>
      <c r="R6" s="386">
        <v>165.2</v>
      </c>
      <c r="S6" s="388">
        <v>46.7</v>
      </c>
      <c r="T6" s="334">
        <v>25088</v>
      </c>
      <c r="U6" s="335">
        <v>90336.2</v>
      </c>
      <c r="V6" s="335">
        <v>2019</v>
      </c>
      <c r="W6" s="336">
        <v>421.3</v>
      </c>
      <c r="X6" s="334">
        <v>1618</v>
      </c>
      <c r="Y6" s="335">
        <v>6772.5</v>
      </c>
      <c r="Z6" s="335">
        <v>165.3</v>
      </c>
      <c r="AA6" s="337">
        <v>46</v>
      </c>
      <c r="AB6" s="16"/>
    </row>
    <row r="7" spans="1:28" ht="15" customHeight="1">
      <c r="A7" s="646" t="s">
        <v>304</v>
      </c>
      <c r="B7" s="647"/>
      <c r="C7" s="647"/>
      <c r="D7" s="648"/>
      <c r="E7" s="230">
        <v>1300</v>
      </c>
      <c r="F7" s="230">
        <v>1700</v>
      </c>
      <c r="G7" s="231">
        <v>0.09</v>
      </c>
      <c r="H7" s="230">
        <f t="shared" si="0"/>
        <v>117</v>
      </c>
      <c r="I7" s="230">
        <f t="shared" si="1"/>
        <v>153</v>
      </c>
      <c r="K7" s="154">
        <f>K6+1</f>
        <v>2021</v>
      </c>
      <c r="L7" s="389">
        <f>(((L$11-L$6)/5)*($K7-$K$6))+L$6</f>
        <v>25348.799999999999</v>
      </c>
      <c r="M7" s="389">
        <f t="shared" ref="M7:AA7" si="2">(((M$11-M$6)/5)*($K7-$K$6))+M$6</f>
        <v>91295.62</v>
      </c>
      <c r="N7" s="389">
        <f t="shared" si="2"/>
        <v>2082.86</v>
      </c>
      <c r="O7" s="389">
        <f t="shared" si="2"/>
        <v>468.12</v>
      </c>
      <c r="P7" s="389">
        <f t="shared" si="2"/>
        <v>1625.2</v>
      </c>
      <c r="Q7" s="390">
        <f t="shared" si="2"/>
        <v>6794.96</v>
      </c>
      <c r="R7" s="390">
        <f t="shared" si="2"/>
        <v>167.17999999999998</v>
      </c>
      <c r="S7" s="391">
        <f t="shared" si="2"/>
        <v>47.480000000000004</v>
      </c>
      <c r="T7" s="389">
        <f t="shared" si="2"/>
        <v>25375.599999999999</v>
      </c>
      <c r="U7" s="173">
        <f t="shared" si="2"/>
        <v>91400.36</v>
      </c>
      <c r="V7" s="173">
        <f t="shared" si="2"/>
        <v>2044</v>
      </c>
      <c r="W7" s="392">
        <f t="shared" si="2"/>
        <v>427.5</v>
      </c>
      <c r="X7" s="389">
        <f t="shared" si="2"/>
        <v>1636.2</v>
      </c>
      <c r="Y7" s="173">
        <f t="shared" si="2"/>
        <v>6847.4</v>
      </c>
      <c r="Z7" s="173">
        <f t="shared" si="2"/>
        <v>167.26000000000002</v>
      </c>
      <c r="AA7" s="393">
        <f t="shared" si="2"/>
        <v>46.62</v>
      </c>
      <c r="AB7" s="64"/>
    </row>
    <row r="8" spans="1:28" ht="15" customHeight="1">
      <c r="A8" s="643" t="s">
        <v>326</v>
      </c>
      <c r="B8" s="644"/>
      <c r="C8" s="644"/>
      <c r="D8" s="645"/>
      <c r="E8" s="228">
        <v>5700</v>
      </c>
      <c r="F8" s="228">
        <v>7600</v>
      </c>
      <c r="G8" s="229">
        <v>0.05</v>
      </c>
      <c r="H8" s="228">
        <f t="shared" si="0"/>
        <v>285</v>
      </c>
      <c r="I8" s="228">
        <f t="shared" si="1"/>
        <v>380</v>
      </c>
      <c r="K8" s="154">
        <f>K7+1</f>
        <v>2022</v>
      </c>
      <c r="L8" s="389">
        <f t="shared" ref="L8:P10" si="3">(((L$11-L$6)/5)*($K8-$K$6))+L$6</f>
        <v>25634.6</v>
      </c>
      <c r="M8" s="389">
        <f t="shared" si="3"/>
        <v>92329.84</v>
      </c>
      <c r="N8" s="389">
        <f t="shared" si="3"/>
        <v>2109.62</v>
      </c>
      <c r="O8" s="389">
        <f t="shared" si="3"/>
        <v>476.54</v>
      </c>
      <c r="P8" s="389">
        <f t="shared" si="3"/>
        <v>1643.4</v>
      </c>
      <c r="Q8" s="390">
        <f t="shared" ref="Q8:AA8" si="4">(((Q$11-Q$6)/5)*($K8-$K$6))+Q$6</f>
        <v>6863.0199999999995</v>
      </c>
      <c r="R8" s="390">
        <f t="shared" si="4"/>
        <v>169.16</v>
      </c>
      <c r="S8" s="391">
        <f t="shared" si="4"/>
        <v>48.260000000000005</v>
      </c>
      <c r="T8" s="389">
        <f t="shared" si="4"/>
        <v>25663.200000000001</v>
      </c>
      <c r="U8" s="173">
        <f t="shared" si="4"/>
        <v>92464.52</v>
      </c>
      <c r="V8" s="173">
        <f t="shared" si="4"/>
        <v>2069</v>
      </c>
      <c r="W8" s="392">
        <f t="shared" si="4"/>
        <v>433.7</v>
      </c>
      <c r="X8" s="389">
        <f t="shared" si="4"/>
        <v>1654.4</v>
      </c>
      <c r="Y8" s="173">
        <f t="shared" si="4"/>
        <v>6922.3</v>
      </c>
      <c r="Z8" s="173">
        <f t="shared" si="4"/>
        <v>169.22</v>
      </c>
      <c r="AA8" s="393">
        <f t="shared" si="4"/>
        <v>47.24</v>
      </c>
      <c r="AB8" s="64"/>
    </row>
    <row r="9" spans="1:28" ht="15" customHeight="1">
      <c r="A9" s="646" t="s">
        <v>305</v>
      </c>
      <c r="B9" s="647"/>
      <c r="C9" s="647"/>
      <c r="D9" s="648"/>
      <c r="E9" s="230">
        <v>4500</v>
      </c>
      <c r="F9" s="230">
        <v>6000</v>
      </c>
      <c r="G9" s="231">
        <v>0.04</v>
      </c>
      <c r="H9" s="230">
        <f t="shared" si="0"/>
        <v>180</v>
      </c>
      <c r="I9" s="230">
        <f t="shared" si="1"/>
        <v>240</v>
      </c>
      <c r="K9" s="154">
        <f t="shared" ref="K9:K10" si="5">K8+1</f>
        <v>2023</v>
      </c>
      <c r="L9" s="389">
        <f t="shared" si="3"/>
        <v>25920.400000000001</v>
      </c>
      <c r="M9" s="389">
        <f t="shared" si="3"/>
        <v>93364.06</v>
      </c>
      <c r="N9" s="389">
        <f t="shared" si="3"/>
        <v>2136.38</v>
      </c>
      <c r="O9" s="389">
        <f t="shared" si="3"/>
        <v>484.96</v>
      </c>
      <c r="P9" s="389">
        <f t="shared" si="3"/>
        <v>1661.6</v>
      </c>
      <c r="Q9" s="390">
        <f t="shared" ref="Q9:AA9" si="6">(((Q$11-Q$6)/5)*($K9-$K$6))+Q$6</f>
        <v>6931.08</v>
      </c>
      <c r="R9" s="390">
        <f t="shared" si="6"/>
        <v>171.14</v>
      </c>
      <c r="S9" s="391">
        <f t="shared" si="6"/>
        <v>49.04</v>
      </c>
      <c r="T9" s="389">
        <f t="shared" si="6"/>
        <v>25950.799999999999</v>
      </c>
      <c r="U9" s="173">
        <f t="shared" si="6"/>
        <v>93528.68</v>
      </c>
      <c r="V9" s="173">
        <f t="shared" si="6"/>
        <v>2094</v>
      </c>
      <c r="W9" s="392">
        <f t="shared" si="6"/>
        <v>439.90000000000003</v>
      </c>
      <c r="X9" s="389">
        <f t="shared" si="6"/>
        <v>1672.6</v>
      </c>
      <c r="Y9" s="173">
        <f t="shared" si="6"/>
        <v>6997.2</v>
      </c>
      <c r="Z9" s="173">
        <f t="shared" si="6"/>
        <v>171.18</v>
      </c>
      <c r="AA9" s="393">
        <f t="shared" si="6"/>
        <v>47.86</v>
      </c>
      <c r="AB9" s="64"/>
    </row>
    <row r="10" spans="1:28" ht="15" customHeight="1">
      <c r="A10" s="643" t="s">
        <v>306</v>
      </c>
      <c r="B10" s="644"/>
      <c r="C10" s="644"/>
      <c r="D10" s="645"/>
      <c r="E10" s="228">
        <v>100</v>
      </c>
      <c r="F10" s="228">
        <v>200</v>
      </c>
      <c r="G10" s="229">
        <v>0.03</v>
      </c>
      <c r="H10" s="228">
        <f t="shared" si="0"/>
        <v>3</v>
      </c>
      <c r="I10" s="228">
        <f t="shared" si="1"/>
        <v>6</v>
      </c>
      <c r="K10" s="154">
        <f t="shared" si="5"/>
        <v>2024</v>
      </c>
      <c r="L10" s="389">
        <f t="shared" si="3"/>
        <v>26206.2</v>
      </c>
      <c r="M10" s="389">
        <f t="shared" si="3"/>
        <v>94398.28</v>
      </c>
      <c r="N10" s="389">
        <f t="shared" si="3"/>
        <v>2163.14</v>
      </c>
      <c r="O10" s="389">
        <f t="shared" si="3"/>
        <v>493.38</v>
      </c>
      <c r="P10" s="389">
        <f t="shared" si="3"/>
        <v>1679.8</v>
      </c>
      <c r="Q10" s="390">
        <f t="shared" ref="Q10:AA10" si="7">(((Q$11-Q$6)/5)*($K10-$K$6))+Q$6</f>
        <v>6999.1399999999994</v>
      </c>
      <c r="R10" s="390">
        <f t="shared" si="7"/>
        <v>173.12</v>
      </c>
      <c r="S10" s="391">
        <f t="shared" si="7"/>
        <v>49.82</v>
      </c>
      <c r="T10" s="389">
        <f t="shared" si="7"/>
        <v>26238.400000000001</v>
      </c>
      <c r="U10" s="173">
        <f t="shared" si="7"/>
        <v>94592.84</v>
      </c>
      <c r="V10" s="173">
        <f t="shared" si="7"/>
        <v>2119</v>
      </c>
      <c r="W10" s="392">
        <f t="shared" si="7"/>
        <v>446.1</v>
      </c>
      <c r="X10" s="389">
        <f t="shared" si="7"/>
        <v>1690.8</v>
      </c>
      <c r="Y10" s="173">
        <f t="shared" si="7"/>
        <v>7072.1</v>
      </c>
      <c r="Z10" s="173">
        <f t="shared" si="7"/>
        <v>173.14</v>
      </c>
      <c r="AA10" s="393">
        <f t="shared" si="7"/>
        <v>48.480000000000004</v>
      </c>
      <c r="AB10" s="64"/>
    </row>
    <row r="11" spans="1:28" ht="15" customHeight="1">
      <c r="A11" s="646" t="s">
        <v>307</v>
      </c>
      <c r="B11" s="647"/>
      <c r="C11" s="647"/>
      <c r="D11" s="648"/>
      <c r="E11" s="230">
        <v>1600</v>
      </c>
      <c r="F11" s="230">
        <v>2100</v>
      </c>
      <c r="G11" s="231">
        <v>0.08</v>
      </c>
      <c r="H11" s="230">
        <f t="shared" si="0"/>
        <v>128</v>
      </c>
      <c r="I11" s="230">
        <f t="shared" si="1"/>
        <v>168</v>
      </c>
      <c r="K11" s="160">
        <v>2025</v>
      </c>
      <c r="L11" s="334">
        <v>26492</v>
      </c>
      <c r="M11" s="386">
        <v>95432.5</v>
      </c>
      <c r="N11" s="386">
        <v>2189.9</v>
      </c>
      <c r="O11" s="387">
        <v>501.8</v>
      </c>
      <c r="P11" s="334">
        <v>1698</v>
      </c>
      <c r="Q11" s="386">
        <v>7067.2</v>
      </c>
      <c r="R11" s="386">
        <v>175.1</v>
      </c>
      <c r="S11" s="388">
        <v>50.6</v>
      </c>
      <c r="T11" s="334">
        <v>26526</v>
      </c>
      <c r="U11" s="335">
        <v>95657</v>
      </c>
      <c r="V11" s="335">
        <v>2144</v>
      </c>
      <c r="W11" s="336">
        <v>452.3</v>
      </c>
      <c r="X11" s="334">
        <v>1709</v>
      </c>
      <c r="Y11" s="335">
        <v>7147</v>
      </c>
      <c r="Z11" s="335">
        <v>175.1</v>
      </c>
      <c r="AA11" s="337">
        <v>49.1</v>
      </c>
      <c r="AB11" s="16"/>
    </row>
    <row r="12" spans="1:28" ht="15" customHeight="1">
      <c r="A12" s="643" t="s">
        <v>327</v>
      </c>
      <c r="B12" s="644"/>
      <c r="C12" s="644"/>
      <c r="D12" s="645"/>
      <c r="E12" s="228">
        <v>1600</v>
      </c>
      <c r="F12" s="228">
        <v>2200</v>
      </c>
      <c r="G12" s="229">
        <v>0.05</v>
      </c>
      <c r="H12" s="228">
        <f t="shared" si="0"/>
        <v>80</v>
      </c>
      <c r="I12" s="228">
        <f t="shared" si="1"/>
        <v>110</v>
      </c>
      <c r="K12" s="154">
        <f>K11+1</f>
        <v>2026</v>
      </c>
      <c r="L12" s="389">
        <f>(((L$16-L$11)/5)*($K12-$K$11))+L$11</f>
        <v>26796.799999999999</v>
      </c>
      <c r="M12" s="389">
        <f t="shared" ref="M12:AA15" si="8">(((M$16-M$11)/5)*($K12-$K$11))+M$11</f>
        <v>96533.34</v>
      </c>
      <c r="N12" s="390">
        <f t="shared" si="8"/>
        <v>2218.48</v>
      </c>
      <c r="O12" s="394">
        <f t="shared" si="8"/>
        <v>510.86</v>
      </c>
      <c r="P12" s="389">
        <f t="shared" si="8"/>
        <v>1717.6</v>
      </c>
      <c r="Q12" s="390">
        <f t="shared" si="8"/>
        <v>7154.5999999999995</v>
      </c>
      <c r="R12" s="390">
        <f t="shared" si="8"/>
        <v>177.46</v>
      </c>
      <c r="S12" s="391">
        <f t="shared" si="8"/>
        <v>51.4</v>
      </c>
      <c r="T12" s="389">
        <f t="shared" si="8"/>
        <v>26830.400000000001</v>
      </c>
      <c r="U12" s="173">
        <f t="shared" si="8"/>
        <v>96736.52</v>
      </c>
      <c r="V12" s="173">
        <f t="shared" si="8"/>
        <v>2170.8000000000002</v>
      </c>
      <c r="W12" s="392">
        <f t="shared" si="8"/>
        <v>459.88</v>
      </c>
      <c r="X12" s="389">
        <f t="shared" si="8"/>
        <v>1726.4</v>
      </c>
      <c r="Y12" s="173">
        <f t="shared" si="8"/>
        <v>7217.34</v>
      </c>
      <c r="Z12" s="173">
        <f t="shared" si="8"/>
        <v>176.94</v>
      </c>
      <c r="AA12" s="393">
        <f t="shared" si="8"/>
        <v>49.7</v>
      </c>
      <c r="AB12" s="64"/>
    </row>
    <row r="13" spans="1:28" ht="15" customHeight="1">
      <c r="A13" s="646" t="s">
        <v>308</v>
      </c>
      <c r="B13" s="647"/>
      <c r="C13" s="647"/>
      <c r="D13" s="648"/>
      <c r="E13" s="230">
        <v>200</v>
      </c>
      <c r="F13" s="230">
        <v>300</v>
      </c>
      <c r="G13" s="231">
        <v>0.06</v>
      </c>
      <c r="H13" s="230">
        <f t="shared" si="0"/>
        <v>12</v>
      </c>
      <c r="I13" s="230">
        <f t="shared" si="1"/>
        <v>18</v>
      </c>
      <c r="K13" s="154">
        <f>K12+1</f>
        <v>2027</v>
      </c>
      <c r="L13" s="389">
        <f t="shared" ref="L13:L15" si="9">(((L$16-L$11)/5)*($K13-$K$11))+L$11</f>
        <v>27101.599999999999</v>
      </c>
      <c r="M13" s="390">
        <f t="shared" si="8"/>
        <v>97634.18</v>
      </c>
      <c r="N13" s="390">
        <f t="shared" si="8"/>
        <v>2247.06</v>
      </c>
      <c r="O13" s="394">
        <f t="shared" si="8"/>
        <v>519.92000000000007</v>
      </c>
      <c r="P13" s="389">
        <f t="shared" si="8"/>
        <v>1737.2</v>
      </c>
      <c r="Q13" s="390">
        <f t="shared" si="8"/>
        <v>7242</v>
      </c>
      <c r="R13" s="390">
        <f t="shared" si="8"/>
        <v>179.82</v>
      </c>
      <c r="S13" s="391">
        <f t="shared" si="8"/>
        <v>52.2</v>
      </c>
      <c r="T13" s="389">
        <f t="shared" si="8"/>
        <v>27134.799999999999</v>
      </c>
      <c r="U13" s="173">
        <f t="shared" si="8"/>
        <v>97816.040000000008</v>
      </c>
      <c r="V13" s="173">
        <f t="shared" si="8"/>
        <v>2197.6</v>
      </c>
      <c r="W13" s="392">
        <f t="shared" si="8"/>
        <v>467.46</v>
      </c>
      <c r="X13" s="389">
        <f t="shared" si="8"/>
        <v>1743.8</v>
      </c>
      <c r="Y13" s="173">
        <f t="shared" si="8"/>
        <v>7287.68</v>
      </c>
      <c r="Z13" s="173">
        <f t="shared" si="8"/>
        <v>178.78</v>
      </c>
      <c r="AA13" s="393">
        <f t="shared" si="8"/>
        <v>50.300000000000004</v>
      </c>
      <c r="AB13" s="64"/>
    </row>
    <row r="14" spans="1:28" ht="15" customHeight="1">
      <c r="A14" s="643" t="s">
        <v>309</v>
      </c>
      <c r="B14" s="644"/>
      <c r="C14" s="644"/>
      <c r="D14" s="645"/>
      <c r="E14" s="228">
        <v>1500</v>
      </c>
      <c r="F14" s="228">
        <v>2000</v>
      </c>
      <c r="G14" s="229">
        <v>0.03</v>
      </c>
      <c r="H14" s="228">
        <f t="shared" si="0"/>
        <v>45</v>
      </c>
      <c r="I14" s="228">
        <f t="shared" si="1"/>
        <v>60</v>
      </c>
      <c r="K14" s="154">
        <f t="shared" ref="K14:K15" si="10">K13+1</f>
        <v>2028</v>
      </c>
      <c r="L14" s="389">
        <f t="shared" si="9"/>
        <v>27406.400000000001</v>
      </c>
      <c r="M14" s="390">
        <f t="shared" si="8"/>
        <v>98735.02</v>
      </c>
      <c r="N14" s="390">
        <f t="shared" si="8"/>
        <v>2275.6400000000003</v>
      </c>
      <c r="O14" s="394">
        <f t="shared" si="8"/>
        <v>528.98</v>
      </c>
      <c r="P14" s="389">
        <f t="shared" si="8"/>
        <v>1756.8</v>
      </c>
      <c r="Q14" s="390">
        <f t="shared" si="8"/>
        <v>7329.4</v>
      </c>
      <c r="R14" s="390">
        <f t="shared" si="8"/>
        <v>182.18</v>
      </c>
      <c r="S14" s="391">
        <f t="shared" si="8"/>
        <v>53</v>
      </c>
      <c r="T14" s="389">
        <f t="shared" si="8"/>
        <v>27439.200000000001</v>
      </c>
      <c r="U14" s="173">
        <f t="shared" si="8"/>
        <v>98895.56</v>
      </c>
      <c r="V14" s="173">
        <f t="shared" si="8"/>
        <v>2224.4</v>
      </c>
      <c r="W14" s="392">
        <f t="shared" si="8"/>
        <v>475.04</v>
      </c>
      <c r="X14" s="389">
        <f t="shared" si="8"/>
        <v>1761.2</v>
      </c>
      <c r="Y14" s="173">
        <f t="shared" si="8"/>
        <v>7358.0199999999995</v>
      </c>
      <c r="Z14" s="173">
        <f t="shared" si="8"/>
        <v>180.62</v>
      </c>
      <c r="AA14" s="393">
        <f t="shared" si="8"/>
        <v>50.9</v>
      </c>
      <c r="AB14" s="64"/>
    </row>
    <row r="15" spans="1:28" ht="15" customHeight="1">
      <c r="A15" s="646" t="s">
        <v>310</v>
      </c>
      <c r="B15" s="647"/>
      <c r="C15" s="647"/>
      <c r="D15" s="648"/>
      <c r="E15" s="230">
        <v>500</v>
      </c>
      <c r="F15" s="230">
        <v>700</v>
      </c>
      <c r="G15" s="231">
        <v>0.04</v>
      </c>
      <c r="H15" s="230">
        <f t="shared" si="0"/>
        <v>20</v>
      </c>
      <c r="I15" s="230">
        <f t="shared" si="1"/>
        <v>28</v>
      </c>
      <c r="K15" s="154">
        <f t="shared" si="10"/>
        <v>2029</v>
      </c>
      <c r="L15" s="389">
        <f t="shared" si="9"/>
        <v>27711.200000000001</v>
      </c>
      <c r="M15" s="390">
        <f t="shared" si="8"/>
        <v>99835.86</v>
      </c>
      <c r="N15" s="390">
        <f t="shared" si="8"/>
        <v>2304.2200000000003</v>
      </c>
      <c r="O15" s="394">
        <f t="shared" si="8"/>
        <v>538.04</v>
      </c>
      <c r="P15" s="389">
        <f t="shared" si="8"/>
        <v>1776.4</v>
      </c>
      <c r="Q15" s="390">
        <f t="shared" si="8"/>
        <v>7416.8</v>
      </c>
      <c r="R15" s="390">
        <f t="shared" si="8"/>
        <v>184.54</v>
      </c>
      <c r="S15" s="391">
        <f t="shared" si="8"/>
        <v>53.800000000000004</v>
      </c>
      <c r="T15" s="389">
        <f t="shared" si="8"/>
        <v>27743.599999999999</v>
      </c>
      <c r="U15" s="173">
        <f t="shared" si="8"/>
        <v>99975.08</v>
      </c>
      <c r="V15" s="173">
        <f t="shared" si="8"/>
        <v>2251.1999999999998</v>
      </c>
      <c r="W15" s="392">
        <f t="shared" si="8"/>
        <v>482.62</v>
      </c>
      <c r="X15" s="389">
        <f t="shared" si="8"/>
        <v>1778.6</v>
      </c>
      <c r="Y15" s="173">
        <f t="shared" si="8"/>
        <v>7428.36</v>
      </c>
      <c r="Z15" s="173">
        <f t="shared" si="8"/>
        <v>182.46</v>
      </c>
      <c r="AA15" s="393">
        <f t="shared" si="8"/>
        <v>51.5</v>
      </c>
      <c r="AB15" s="64"/>
    </row>
    <row r="16" spans="1:28" ht="15" customHeight="1">
      <c r="A16" s="643" t="s">
        <v>311</v>
      </c>
      <c r="B16" s="644"/>
      <c r="C16" s="644"/>
      <c r="D16" s="645"/>
      <c r="E16" s="228">
        <v>200</v>
      </c>
      <c r="F16" s="228">
        <v>300</v>
      </c>
      <c r="G16" s="229">
        <v>0.05</v>
      </c>
      <c r="H16" s="228">
        <f t="shared" si="0"/>
        <v>10</v>
      </c>
      <c r="I16" s="228">
        <f t="shared" si="1"/>
        <v>15</v>
      </c>
      <c r="K16" s="160">
        <v>2030</v>
      </c>
      <c r="L16" s="334">
        <v>28016</v>
      </c>
      <c r="M16" s="386">
        <v>100936.7</v>
      </c>
      <c r="N16" s="386">
        <v>2332.8000000000002</v>
      </c>
      <c r="O16" s="387">
        <v>547.1</v>
      </c>
      <c r="P16" s="334">
        <v>1796</v>
      </c>
      <c r="Q16" s="386">
        <v>7504.2</v>
      </c>
      <c r="R16" s="386">
        <v>186.9</v>
      </c>
      <c r="S16" s="388">
        <v>54.6</v>
      </c>
      <c r="T16" s="334">
        <v>28048</v>
      </c>
      <c r="U16" s="335">
        <v>101054.6</v>
      </c>
      <c r="V16" s="335">
        <v>2278</v>
      </c>
      <c r="W16" s="336">
        <v>490.2</v>
      </c>
      <c r="X16" s="334">
        <v>1796</v>
      </c>
      <c r="Y16" s="335">
        <v>7498.7</v>
      </c>
      <c r="Z16" s="335">
        <v>184.3</v>
      </c>
      <c r="AA16" s="337">
        <v>52.1</v>
      </c>
      <c r="AB16" s="16"/>
    </row>
    <row r="17" spans="1:28" ht="15" customHeight="1">
      <c r="A17" s="646" t="s">
        <v>312</v>
      </c>
      <c r="B17" s="647"/>
      <c r="C17" s="647"/>
      <c r="D17" s="648"/>
      <c r="E17" s="230">
        <v>700</v>
      </c>
      <c r="F17" s="230">
        <v>900</v>
      </c>
      <c r="G17" s="231">
        <v>0.04</v>
      </c>
      <c r="H17" s="230">
        <f t="shared" si="0"/>
        <v>28</v>
      </c>
      <c r="I17" s="230">
        <f t="shared" si="1"/>
        <v>36</v>
      </c>
      <c r="K17" s="154">
        <f>K16+1</f>
        <v>2031</v>
      </c>
      <c r="L17" s="389">
        <f>(((L$21-L$16)/5)*($K17-$K$16))+L$16</f>
        <v>28439.8</v>
      </c>
      <c r="M17" s="390">
        <f t="shared" ref="M17:AA20" si="11">(((M$21-M$16)/5)*($K17-$K$16))+M$16</f>
        <v>102735.54</v>
      </c>
      <c r="N17" s="390">
        <f t="shared" si="11"/>
        <v>2378.2400000000002</v>
      </c>
      <c r="O17" s="394">
        <f t="shared" si="11"/>
        <v>561.48</v>
      </c>
      <c r="P17" s="389">
        <f t="shared" si="11"/>
        <v>1810.6</v>
      </c>
      <c r="Q17" s="390">
        <f t="shared" si="11"/>
        <v>7645.92</v>
      </c>
      <c r="R17" s="390">
        <f t="shared" si="11"/>
        <v>190.34</v>
      </c>
      <c r="S17" s="391">
        <f t="shared" si="11"/>
        <v>55.68</v>
      </c>
      <c r="T17" s="389">
        <f t="shared" si="11"/>
        <v>28467.599999999999</v>
      </c>
      <c r="U17" s="173">
        <f t="shared" si="11"/>
        <v>102838.98000000001</v>
      </c>
      <c r="V17" s="173">
        <f t="shared" si="11"/>
        <v>2319.7399999999998</v>
      </c>
      <c r="W17" s="392">
        <f t="shared" si="11"/>
        <v>501.1</v>
      </c>
      <c r="X17" s="389">
        <f t="shared" si="11"/>
        <v>1808.2</v>
      </c>
      <c r="Y17" s="173">
        <f t="shared" si="11"/>
        <v>7635.82</v>
      </c>
      <c r="Z17" s="173">
        <f t="shared" si="11"/>
        <v>187.74</v>
      </c>
      <c r="AA17" s="393">
        <f t="shared" si="11"/>
        <v>53.26</v>
      </c>
      <c r="AB17" s="64"/>
    </row>
    <row r="18" spans="1:28" ht="15" customHeight="1">
      <c r="A18" s="643" t="s">
        <v>313</v>
      </c>
      <c r="B18" s="644"/>
      <c r="C18" s="644"/>
      <c r="D18" s="645"/>
      <c r="E18" s="228">
        <v>1800</v>
      </c>
      <c r="F18" s="228">
        <v>2300</v>
      </c>
      <c r="G18" s="229">
        <v>0.09</v>
      </c>
      <c r="H18" s="228">
        <f t="shared" si="0"/>
        <v>162</v>
      </c>
      <c r="I18" s="228">
        <f t="shared" si="1"/>
        <v>207</v>
      </c>
      <c r="K18" s="154">
        <f>K17+1</f>
        <v>2032</v>
      </c>
      <c r="L18" s="389">
        <f t="shared" ref="L18:L20" si="12">(((L$21-L$16)/5)*($K18-$K$16))+L$16</f>
        <v>28863.599999999999</v>
      </c>
      <c r="M18" s="390">
        <f t="shared" si="11"/>
        <v>104534.37999999999</v>
      </c>
      <c r="N18" s="390">
        <f t="shared" si="11"/>
        <v>2423.6800000000003</v>
      </c>
      <c r="O18" s="394">
        <f t="shared" si="11"/>
        <v>575.86</v>
      </c>
      <c r="P18" s="389">
        <f t="shared" si="11"/>
        <v>1825.2</v>
      </c>
      <c r="Q18" s="390">
        <f t="shared" si="11"/>
        <v>7787.6399999999994</v>
      </c>
      <c r="R18" s="390">
        <f t="shared" si="11"/>
        <v>193.78</v>
      </c>
      <c r="S18" s="391">
        <f t="shared" si="11"/>
        <v>56.76</v>
      </c>
      <c r="T18" s="389">
        <f t="shared" si="11"/>
        <v>28887.200000000001</v>
      </c>
      <c r="U18" s="173">
        <f t="shared" si="11"/>
        <v>104623.36</v>
      </c>
      <c r="V18" s="173">
        <f t="shared" si="11"/>
        <v>2361.48</v>
      </c>
      <c r="W18" s="392">
        <f t="shared" si="11"/>
        <v>512</v>
      </c>
      <c r="X18" s="389">
        <f t="shared" si="11"/>
        <v>1820.4</v>
      </c>
      <c r="Y18" s="173">
        <f t="shared" si="11"/>
        <v>7772.94</v>
      </c>
      <c r="Z18" s="173">
        <f t="shared" si="11"/>
        <v>191.18</v>
      </c>
      <c r="AA18" s="393">
        <f t="shared" si="11"/>
        <v>54.42</v>
      </c>
      <c r="AB18" s="64"/>
    </row>
    <row r="19" spans="1:28" ht="15" customHeight="1">
      <c r="A19" s="646" t="s">
        <v>314</v>
      </c>
      <c r="B19" s="647"/>
      <c r="C19" s="647"/>
      <c r="D19" s="648"/>
      <c r="E19" s="230">
        <v>700</v>
      </c>
      <c r="F19" s="230">
        <v>1000</v>
      </c>
      <c r="G19" s="231">
        <v>0.06</v>
      </c>
      <c r="H19" s="230">
        <f t="shared" si="0"/>
        <v>42</v>
      </c>
      <c r="I19" s="230">
        <f t="shared" si="1"/>
        <v>60</v>
      </c>
      <c r="K19" s="154">
        <f t="shared" ref="K19:K20" si="13">K18+1</f>
        <v>2033</v>
      </c>
      <c r="L19" s="389">
        <f t="shared" si="12"/>
        <v>29287.4</v>
      </c>
      <c r="M19" s="390">
        <f t="shared" si="11"/>
        <v>106333.22</v>
      </c>
      <c r="N19" s="390">
        <f t="shared" si="11"/>
        <v>2469.12</v>
      </c>
      <c r="O19" s="394">
        <f t="shared" si="11"/>
        <v>590.24</v>
      </c>
      <c r="P19" s="389">
        <f t="shared" si="11"/>
        <v>1839.8</v>
      </c>
      <c r="Q19" s="390">
        <f t="shared" si="11"/>
        <v>7929.36</v>
      </c>
      <c r="R19" s="390">
        <f t="shared" si="11"/>
        <v>197.22</v>
      </c>
      <c r="S19" s="391">
        <f t="shared" si="11"/>
        <v>57.84</v>
      </c>
      <c r="T19" s="389">
        <f t="shared" si="11"/>
        <v>29306.799999999999</v>
      </c>
      <c r="U19" s="173">
        <f t="shared" si="11"/>
        <v>106407.74</v>
      </c>
      <c r="V19" s="173">
        <f t="shared" si="11"/>
        <v>2403.2199999999998</v>
      </c>
      <c r="W19" s="392">
        <f t="shared" si="11"/>
        <v>522.9</v>
      </c>
      <c r="X19" s="389">
        <f t="shared" si="11"/>
        <v>1832.6</v>
      </c>
      <c r="Y19" s="173">
        <f t="shared" si="11"/>
        <v>7910.06</v>
      </c>
      <c r="Z19" s="173">
        <f t="shared" si="11"/>
        <v>194.62</v>
      </c>
      <c r="AA19" s="393">
        <f t="shared" si="11"/>
        <v>55.58</v>
      </c>
      <c r="AB19" s="64"/>
    </row>
    <row r="20" spans="1:28" ht="15" customHeight="1">
      <c r="A20" s="643" t="s">
        <v>315</v>
      </c>
      <c r="B20" s="644"/>
      <c r="C20" s="644"/>
      <c r="D20" s="645"/>
      <c r="E20" s="228">
        <v>800</v>
      </c>
      <c r="F20" s="228">
        <v>1100</v>
      </c>
      <c r="G20" s="229">
        <v>0.03</v>
      </c>
      <c r="H20" s="228">
        <f t="shared" si="0"/>
        <v>24</v>
      </c>
      <c r="I20" s="228">
        <f t="shared" si="1"/>
        <v>33</v>
      </c>
      <c r="K20" s="154">
        <f t="shared" si="13"/>
        <v>2034</v>
      </c>
      <c r="L20" s="389">
        <f t="shared" si="12"/>
        <v>29711.200000000001</v>
      </c>
      <c r="M20" s="390">
        <f t="shared" si="11"/>
        <v>108132.06</v>
      </c>
      <c r="N20" s="390">
        <f t="shared" si="11"/>
        <v>2514.56</v>
      </c>
      <c r="O20" s="394">
        <f t="shared" si="11"/>
        <v>604.62</v>
      </c>
      <c r="P20" s="389">
        <f t="shared" si="11"/>
        <v>1854.4</v>
      </c>
      <c r="Q20" s="390">
        <f t="shared" si="11"/>
        <v>8071.079999999999</v>
      </c>
      <c r="R20" s="390">
        <f t="shared" si="11"/>
        <v>200.66</v>
      </c>
      <c r="S20" s="391">
        <f t="shared" si="11"/>
        <v>58.92</v>
      </c>
      <c r="T20" s="389">
        <f t="shared" si="11"/>
        <v>29726.400000000001</v>
      </c>
      <c r="U20" s="173">
        <f t="shared" si="11"/>
        <v>108192.12</v>
      </c>
      <c r="V20" s="173">
        <f t="shared" si="11"/>
        <v>2444.96</v>
      </c>
      <c r="W20" s="392">
        <f t="shared" si="11"/>
        <v>533.80000000000007</v>
      </c>
      <c r="X20" s="389">
        <f t="shared" si="11"/>
        <v>1844.8</v>
      </c>
      <c r="Y20" s="173">
        <f t="shared" si="11"/>
        <v>8047.18</v>
      </c>
      <c r="Z20" s="173">
        <f t="shared" si="11"/>
        <v>198.06</v>
      </c>
      <c r="AA20" s="393">
        <f t="shared" si="11"/>
        <v>56.74</v>
      </c>
      <c r="AB20" s="64"/>
    </row>
    <row r="21" spans="1:28" ht="15" customHeight="1">
      <c r="A21" s="646" t="s">
        <v>316</v>
      </c>
      <c r="B21" s="647"/>
      <c r="C21" s="647"/>
      <c r="D21" s="648"/>
      <c r="E21" s="230">
        <v>1200</v>
      </c>
      <c r="F21" s="230">
        <v>1600</v>
      </c>
      <c r="G21" s="231">
        <v>0.04</v>
      </c>
      <c r="H21" s="230">
        <f t="shared" si="0"/>
        <v>48</v>
      </c>
      <c r="I21" s="230">
        <f t="shared" si="1"/>
        <v>64</v>
      </c>
      <c r="K21" s="160">
        <v>2035</v>
      </c>
      <c r="L21" s="334">
        <v>30135</v>
      </c>
      <c r="M21" s="386">
        <v>109930.9</v>
      </c>
      <c r="N21" s="386">
        <v>2560</v>
      </c>
      <c r="O21" s="387">
        <v>619</v>
      </c>
      <c r="P21" s="334">
        <v>1869</v>
      </c>
      <c r="Q21" s="386">
        <v>8212.7999999999993</v>
      </c>
      <c r="R21" s="386">
        <v>204.1</v>
      </c>
      <c r="S21" s="388">
        <v>60</v>
      </c>
      <c r="T21" s="334">
        <v>30146</v>
      </c>
      <c r="U21" s="335">
        <v>109976.5</v>
      </c>
      <c r="V21" s="335">
        <v>2486.6999999999998</v>
      </c>
      <c r="W21" s="336">
        <v>544.70000000000005</v>
      </c>
      <c r="X21" s="334">
        <v>1857</v>
      </c>
      <c r="Y21" s="335">
        <v>8184.3</v>
      </c>
      <c r="Z21" s="335">
        <v>201.5</v>
      </c>
      <c r="AA21" s="337">
        <v>57.9</v>
      </c>
      <c r="AB21" s="16"/>
    </row>
    <row r="22" spans="1:28" ht="15" customHeight="1">
      <c r="A22" s="643" t="s">
        <v>328</v>
      </c>
      <c r="B22" s="644"/>
      <c r="C22" s="644"/>
      <c r="D22" s="645"/>
      <c r="E22" s="228">
        <v>1800</v>
      </c>
      <c r="F22" s="228">
        <v>2500</v>
      </c>
      <c r="G22" s="229">
        <v>7.0000000000000007E-2</v>
      </c>
      <c r="H22" s="228">
        <f t="shared" si="0"/>
        <v>126</v>
      </c>
      <c r="I22" s="228">
        <f t="shared" si="1"/>
        <v>175</v>
      </c>
      <c r="K22" s="154">
        <f>K21+1</f>
        <v>2036</v>
      </c>
      <c r="L22" s="389">
        <f>(((L$26-L$21)/5)*($K22-$K$21))+L$21</f>
        <v>30482</v>
      </c>
      <c r="M22" s="390">
        <f t="shared" ref="M22:AA25" si="14">(((M$26-M$21)/5)*($K22-$K$21))+M$21</f>
        <v>111193.01999999999</v>
      </c>
      <c r="N22" s="390">
        <f t="shared" si="14"/>
        <v>2596.02</v>
      </c>
      <c r="O22" s="394">
        <f t="shared" si="14"/>
        <v>632.64</v>
      </c>
      <c r="P22" s="389">
        <f t="shared" si="14"/>
        <v>1889</v>
      </c>
      <c r="Q22" s="390">
        <f t="shared" si="14"/>
        <v>8301.26</v>
      </c>
      <c r="R22" s="390">
        <f t="shared" si="14"/>
        <v>206.82</v>
      </c>
      <c r="S22" s="391">
        <f t="shared" si="14"/>
        <v>61.16</v>
      </c>
      <c r="T22" s="389">
        <f t="shared" si="14"/>
        <v>30492.2</v>
      </c>
      <c r="U22" s="173">
        <f t="shared" si="14"/>
        <v>111236.28</v>
      </c>
      <c r="V22" s="173">
        <f t="shared" si="14"/>
        <v>2518.62</v>
      </c>
      <c r="W22" s="392">
        <f t="shared" si="14"/>
        <v>554.32000000000005</v>
      </c>
      <c r="X22" s="389">
        <f t="shared" si="14"/>
        <v>1880</v>
      </c>
      <c r="Y22" s="173">
        <f t="shared" si="14"/>
        <v>8275.14</v>
      </c>
      <c r="Z22" s="173">
        <f t="shared" si="14"/>
        <v>203.78</v>
      </c>
      <c r="AA22" s="393">
        <f t="shared" si="14"/>
        <v>58.56</v>
      </c>
      <c r="AB22" s="64"/>
    </row>
    <row r="23" spans="1:28" ht="15" customHeight="1">
      <c r="A23" s="646" t="s">
        <v>317</v>
      </c>
      <c r="B23" s="647"/>
      <c r="C23" s="647"/>
      <c r="D23" s="648"/>
      <c r="E23" s="230">
        <v>200</v>
      </c>
      <c r="F23" s="230">
        <v>400</v>
      </c>
      <c r="G23" s="231">
        <v>0.03</v>
      </c>
      <c r="H23" s="230">
        <f t="shared" si="0"/>
        <v>6</v>
      </c>
      <c r="I23" s="230">
        <f t="shared" si="1"/>
        <v>12</v>
      </c>
      <c r="K23" s="154">
        <f>K22+1</f>
        <v>2037</v>
      </c>
      <c r="L23" s="389">
        <f t="shared" ref="L23:L25" si="15">(((L$26-L$21)/5)*($K23-$K$21))+L$21</f>
        <v>30829</v>
      </c>
      <c r="M23" s="390">
        <f t="shared" si="14"/>
        <v>112455.14</v>
      </c>
      <c r="N23" s="390">
        <f t="shared" si="14"/>
        <v>2632.04</v>
      </c>
      <c r="O23" s="394">
        <f t="shared" si="14"/>
        <v>646.28</v>
      </c>
      <c r="P23" s="389">
        <f t="shared" si="14"/>
        <v>1909</v>
      </c>
      <c r="Q23" s="390">
        <f t="shared" si="14"/>
        <v>8389.7199999999993</v>
      </c>
      <c r="R23" s="390">
        <f t="shared" si="14"/>
        <v>209.54</v>
      </c>
      <c r="S23" s="391">
        <f t="shared" si="14"/>
        <v>62.32</v>
      </c>
      <c r="T23" s="389">
        <f t="shared" si="14"/>
        <v>30838.400000000001</v>
      </c>
      <c r="U23" s="173">
        <f t="shared" si="14"/>
        <v>112496.06</v>
      </c>
      <c r="V23" s="173">
        <f t="shared" si="14"/>
        <v>2550.54</v>
      </c>
      <c r="W23" s="392">
        <f t="shared" si="14"/>
        <v>563.94000000000005</v>
      </c>
      <c r="X23" s="389">
        <f t="shared" si="14"/>
        <v>1903</v>
      </c>
      <c r="Y23" s="173">
        <f t="shared" si="14"/>
        <v>8365.98</v>
      </c>
      <c r="Z23" s="173">
        <f t="shared" si="14"/>
        <v>206.06</v>
      </c>
      <c r="AA23" s="393">
        <f t="shared" si="14"/>
        <v>59.22</v>
      </c>
      <c r="AB23" s="64"/>
    </row>
    <row r="24" spans="1:28" ht="15" customHeight="1">
      <c r="A24" s="643" t="s">
        <v>318</v>
      </c>
      <c r="B24" s="644"/>
      <c r="C24" s="644"/>
      <c r="D24" s="645"/>
      <c r="E24" s="228">
        <v>300</v>
      </c>
      <c r="F24" s="228">
        <v>400</v>
      </c>
      <c r="G24" s="229">
        <v>0.04</v>
      </c>
      <c r="H24" s="228">
        <f t="shared" si="0"/>
        <v>12</v>
      </c>
      <c r="I24" s="228">
        <f t="shared" si="1"/>
        <v>16</v>
      </c>
      <c r="K24" s="154">
        <f t="shared" ref="K24:K25" si="16">K23+1</f>
        <v>2038</v>
      </c>
      <c r="L24" s="389">
        <f t="shared" si="15"/>
        <v>31176</v>
      </c>
      <c r="M24" s="390">
        <f t="shared" si="14"/>
        <v>113717.26</v>
      </c>
      <c r="N24" s="390">
        <f t="shared" si="14"/>
        <v>2668.06</v>
      </c>
      <c r="O24" s="394">
        <f t="shared" si="14"/>
        <v>659.92000000000007</v>
      </c>
      <c r="P24" s="389">
        <f t="shared" si="14"/>
        <v>1929</v>
      </c>
      <c r="Q24" s="390">
        <f t="shared" si="14"/>
        <v>8478.18</v>
      </c>
      <c r="R24" s="390">
        <f t="shared" si="14"/>
        <v>212.26</v>
      </c>
      <c r="S24" s="391">
        <f t="shared" si="14"/>
        <v>63.48</v>
      </c>
      <c r="T24" s="389">
        <f t="shared" si="14"/>
        <v>31184.6</v>
      </c>
      <c r="U24" s="173">
        <f t="shared" si="14"/>
        <v>113755.84</v>
      </c>
      <c r="V24" s="173">
        <f t="shared" si="14"/>
        <v>2582.46</v>
      </c>
      <c r="W24" s="392">
        <f t="shared" si="14"/>
        <v>573.55999999999995</v>
      </c>
      <c r="X24" s="389">
        <f t="shared" si="14"/>
        <v>1926</v>
      </c>
      <c r="Y24" s="173">
        <f t="shared" si="14"/>
        <v>8456.82</v>
      </c>
      <c r="Z24" s="173">
        <f t="shared" si="14"/>
        <v>208.34</v>
      </c>
      <c r="AA24" s="393">
        <f t="shared" si="14"/>
        <v>59.88</v>
      </c>
      <c r="AB24" s="64"/>
    </row>
    <row r="25" spans="1:28" s="64" customFormat="1" ht="15" customHeight="1">
      <c r="A25" s="646" t="s">
        <v>319</v>
      </c>
      <c r="B25" s="647"/>
      <c r="C25" s="647"/>
      <c r="D25" s="648"/>
      <c r="E25" s="230">
        <v>400</v>
      </c>
      <c r="F25" s="230">
        <v>500</v>
      </c>
      <c r="G25" s="231">
        <v>0.03</v>
      </c>
      <c r="H25" s="230">
        <f t="shared" si="0"/>
        <v>12</v>
      </c>
      <c r="I25" s="230">
        <f t="shared" si="1"/>
        <v>15</v>
      </c>
      <c r="K25" s="154">
        <f t="shared" si="16"/>
        <v>2039</v>
      </c>
      <c r="L25" s="389">
        <f t="shared" si="15"/>
        <v>31523</v>
      </c>
      <c r="M25" s="390">
        <f t="shared" si="14"/>
        <v>114979.38</v>
      </c>
      <c r="N25" s="390">
        <f t="shared" si="14"/>
        <v>2704.08</v>
      </c>
      <c r="O25" s="394">
        <f t="shared" si="14"/>
        <v>673.56000000000006</v>
      </c>
      <c r="P25" s="389">
        <f t="shared" si="14"/>
        <v>1949</v>
      </c>
      <c r="Q25" s="390">
        <f t="shared" si="14"/>
        <v>8566.64</v>
      </c>
      <c r="R25" s="390">
        <f t="shared" si="14"/>
        <v>214.98</v>
      </c>
      <c r="S25" s="391">
        <f t="shared" si="14"/>
        <v>64.64</v>
      </c>
      <c r="T25" s="389">
        <f t="shared" si="14"/>
        <v>31530.799999999999</v>
      </c>
      <c r="U25" s="173">
        <f t="shared" si="14"/>
        <v>115015.62</v>
      </c>
      <c r="V25" s="173">
        <f t="shared" si="14"/>
        <v>2614.38</v>
      </c>
      <c r="W25" s="392">
        <f t="shared" si="14"/>
        <v>583.17999999999995</v>
      </c>
      <c r="X25" s="389">
        <f t="shared" si="14"/>
        <v>1949</v>
      </c>
      <c r="Y25" s="173">
        <f t="shared" si="14"/>
        <v>8547.66</v>
      </c>
      <c r="Z25" s="173">
        <f t="shared" si="14"/>
        <v>210.62</v>
      </c>
      <c r="AA25" s="393">
        <f t="shared" si="14"/>
        <v>60.54</v>
      </c>
    </row>
    <row r="26" spans="1:28" s="64" customFormat="1" ht="15" customHeight="1">
      <c r="A26" s="643" t="s">
        <v>320</v>
      </c>
      <c r="B26" s="644"/>
      <c r="C26" s="644"/>
      <c r="D26" s="645"/>
      <c r="E26" s="228">
        <v>1800</v>
      </c>
      <c r="F26" s="228">
        <v>2900</v>
      </c>
      <c r="G26" s="229">
        <v>0.05</v>
      </c>
      <c r="H26" s="228">
        <f t="shared" si="0"/>
        <v>90</v>
      </c>
      <c r="I26" s="228">
        <f t="shared" si="1"/>
        <v>145</v>
      </c>
      <c r="K26" s="160">
        <v>2040</v>
      </c>
      <c r="L26" s="334">
        <v>31870</v>
      </c>
      <c r="M26" s="386">
        <v>116241.5</v>
      </c>
      <c r="N26" s="386">
        <v>2740.1</v>
      </c>
      <c r="O26" s="387">
        <v>687.2</v>
      </c>
      <c r="P26" s="334">
        <v>1969</v>
      </c>
      <c r="Q26" s="386">
        <v>8655.1</v>
      </c>
      <c r="R26" s="386">
        <v>217.7</v>
      </c>
      <c r="S26" s="388">
        <v>65.8</v>
      </c>
      <c r="T26" s="334">
        <v>31877</v>
      </c>
      <c r="U26" s="335">
        <v>116275.4</v>
      </c>
      <c r="V26" s="335">
        <v>2646.3</v>
      </c>
      <c r="W26" s="336">
        <v>592.79999999999995</v>
      </c>
      <c r="X26" s="334">
        <v>1972</v>
      </c>
      <c r="Y26" s="335">
        <v>8638.5</v>
      </c>
      <c r="Z26" s="335">
        <v>212.9</v>
      </c>
      <c r="AA26" s="337">
        <v>61.2</v>
      </c>
      <c r="AB26" s="16"/>
    </row>
    <row r="27" spans="1:28" s="64" customFormat="1" ht="15" customHeight="1">
      <c r="A27" s="646" t="s">
        <v>321</v>
      </c>
      <c r="B27" s="647"/>
      <c r="C27" s="647"/>
      <c r="D27" s="648"/>
      <c r="E27" s="230">
        <v>3300</v>
      </c>
      <c r="F27" s="230">
        <v>4700</v>
      </c>
      <c r="G27" s="231">
        <v>7.0000000000000007E-2</v>
      </c>
      <c r="H27" s="230">
        <f t="shared" si="0"/>
        <v>231</v>
      </c>
      <c r="I27" s="230">
        <f t="shared" si="1"/>
        <v>329</v>
      </c>
      <c r="K27" s="154">
        <f>K26+1</f>
        <v>2041</v>
      </c>
      <c r="L27" s="389">
        <f>(((L$31-L$26)/5)*($K27-$K$26))+L$26</f>
        <v>32245.4</v>
      </c>
      <c r="M27" s="395">
        <f t="shared" ref="M27:AA30" si="17">(((M$31-M$26)/5)*($K27-$K$26))+M$26</f>
        <v>117604</v>
      </c>
      <c r="N27" s="395">
        <f t="shared" si="17"/>
        <v>2782.44</v>
      </c>
      <c r="O27" s="396">
        <f t="shared" si="17"/>
        <v>705.40000000000009</v>
      </c>
      <c r="P27" s="397">
        <f t="shared" si="17"/>
        <v>1990.6</v>
      </c>
      <c r="Q27" s="395">
        <f t="shared" si="17"/>
        <v>8749.6200000000008</v>
      </c>
      <c r="R27" s="395">
        <f t="shared" si="17"/>
        <v>220.7</v>
      </c>
      <c r="S27" s="398">
        <f t="shared" si="17"/>
        <v>67.14</v>
      </c>
      <c r="T27" s="397">
        <f t="shared" si="17"/>
        <v>32249.8</v>
      </c>
      <c r="U27" s="399">
        <f t="shared" si="17"/>
        <v>117633.29999999999</v>
      </c>
      <c r="V27" s="399">
        <f t="shared" si="17"/>
        <v>2682.34</v>
      </c>
      <c r="W27" s="400">
        <f t="shared" si="17"/>
        <v>604.78</v>
      </c>
      <c r="X27" s="397">
        <f t="shared" si="17"/>
        <v>1994.2</v>
      </c>
      <c r="Y27" s="399">
        <f t="shared" si="17"/>
        <v>8732.4599999999991</v>
      </c>
      <c r="Z27" s="399">
        <f t="shared" si="17"/>
        <v>215.66</v>
      </c>
      <c r="AA27" s="401">
        <f t="shared" si="17"/>
        <v>62.32</v>
      </c>
    </row>
    <row r="28" spans="1:28" s="64" customFormat="1" ht="15" customHeight="1">
      <c r="A28" s="643" t="s">
        <v>322</v>
      </c>
      <c r="B28" s="644"/>
      <c r="C28" s="644"/>
      <c r="D28" s="645"/>
      <c r="E28" s="228">
        <v>400</v>
      </c>
      <c r="F28" s="228">
        <v>500</v>
      </c>
      <c r="G28" s="229">
        <v>0.06</v>
      </c>
      <c r="H28" s="228">
        <f t="shared" si="0"/>
        <v>24</v>
      </c>
      <c r="I28" s="228">
        <f t="shared" si="1"/>
        <v>30</v>
      </c>
      <c r="K28" s="154">
        <f>K27+1</f>
        <v>2042</v>
      </c>
      <c r="L28" s="397">
        <f t="shared" ref="L28:L30" si="18">(((L$31-L$26)/5)*($K28-$K$26))+L$26</f>
        <v>32620.799999999999</v>
      </c>
      <c r="M28" s="395">
        <f t="shared" si="17"/>
        <v>118966.5</v>
      </c>
      <c r="N28" s="395">
        <f t="shared" si="17"/>
        <v>2824.78</v>
      </c>
      <c r="O28" s="396">
        <f t="shared" si="17"/>
        <v>723.6</v>
      </c>
      <c r="P28" s="397">
        <f t="shared" si="17"/>
        <v>2012.2</v>
      </c>
      <c r="Q28" s="395">
        <f t="shared" si="17"/>
        <v>8844.1400000000012</v>
      </c>
      <c r="R28" s="395">
        <f t="shared" si="17"/>
        <v>223.7</v>
      </c>
      <c r="S28" s="398">
        <f t="shared" si="17"/>
        <v>68.48</v>
      </c>
      <c r="T28" s="397">
        <f t="shared" si="17"/>
        <v>32622.6</v>
      </c>
      <c r="U28" s="399">
        <f t="shared" si="17"/>
        <v>118991.2</v>
      </c>
      <c r="V28" s="399">
        <f t="shared" si="17"/>
        <v>2718.38</v>
      </c>
      <c r="W28" s="400">
        <f t="shared" si="17"/>
        <v>616.76</v>
      </c>
      <c r="X28" s="397">
        <f t="shared" si="17"/>
        <v>2016.4</v>
      </c>
      <c r="Y28" s="399">
        <f t="shared" si="17"/>
        <v>8826.42</v>
      </c>
      <c r="Z28" s="399">
        <f t="shared" si="17"/>
        <v>218.42</v>
      </c>
      <c r="AA28" s="401">
        <f t="shared" si="17"/>
        <v>63.44</v>
      </c>
    </row>
    <row r="29" spans="1:28" s="64" customFormat="1" ht="15" customHeight="1">
      <c r="A29" s="646" t="s">
        <v>323</v>
      </c>
      <c r="B29" s="647"/>
      <c r="C29" s="647"/>
      <c r="D29" s="648"/>
      <c r="E29" s="230">
        <v>400</v>
      </c>
      <c r="F29" s="230">
        <v>500</v>
      </c>
      <c r="G29" s="231">
        <v>0.06</v>
      </c>
      <c r="H29" s="230">
        <f t="shared" si="0"/>
        <v>24</v>
      </c>
      <c r="I29" s="230">
        <f t="shared" si="1"/>
        <v>30</v>
      </c>
      <c r="K29" s="154">
        <f t="shared" ref="K29:K30" si="19">K28+1</f>
        <v>2043</v>
      </c>
      <c r="L29" s="397">
        <f t="shared" si="18"/>
        <v>32996.199999999997</v>
      </c>
      <c r="M29" s="395">
        <f t="shared" si="17"/>
        <v>120329</v>
      </c>
      <c r="N29" s="395">
        <f t="shared" si="17"/>
        <v>2867.12</v>
      </c>
      <c r="O29" s="396">
        <f t="shared" si="17"/>
        <v>741.80000000000007</v>
      </c>
      <c r="P29" s="397">
        <f t="shared" si="17"/>
        <v>2033.8</v>
      </c>
      <c r="Q29" s="395">
        <f t="shared" si="17"/>
        <v>8938.66</v>
      </c>
      <c r="R29" s="395">
        <f t="shared" si="17"/>
        <v>226.7</v>
      </c>
      <c r="S29" s="398">
        <f t="shared" si="17"/>
        <v>69.819999999999993</v>
      </c>
      <c r="T29" s="397">
        <f t="shared" si="17"/>
        <v>32995.4</v>
      </c>
      <c r="U29" s="399">
        <f t="shared" si="17"/>
        <v>120349.09999999999</v>
      </c>
      <c r="V29" s="399">
        <f t="shared" si="17"/>
        <v>2754.42</v>
      </c>
      <c r="W29" s="400">
        <f t="shared" si="17"/>
        <v>628.74</v>
      </c>
      <c r="X29" s="397">
        <f t="shared" si="17"/>
        <v>2038.6</v>
      </c>
      <c r="Y29" s="399">
        <f t="shared" si="17"/>
        <v>8920.3799999999992</v>
      </c>
      <c r="Z29" s="399">
        <f t="shared" si="17"/>
        <v>221.18</v>
      </c>
      <c r="AA29" s="401">
        <f t="shared" si="17"/>
        <v>64.56</v>
      </c>
    </row>
    <row r="30" spans="1:28" s="64" customFormat="1" ht="15" customHeight="1">
      <c r="A30" s="643" t="s">
        <v>324</v>
      </c>
      <c r="B30" s="644"/>
      <c r="C30" s="644"/>
      <c r="D30" s="645"/>
      <c r="E30" s="228">
        <v>400</v>
      </c>
      <c r="F30" s="228">
        <v>500</v>
      </c>
      <c r="G30" s="229">
        <v>0.06</v>
      </c>
      <c r="H30" s="228">
        <f t="shared" si="0"/>
        <v>24</v>
      </c>
      <c r="I30" s="228">
        <f t="shared" si="1"/>
        <v>30</v>
      </c>
      <c r="K30" s="154">
        <f t="shared" si="19"/>
        <v>2044</v>
      </c>
      <c r="L30" s="397">
        <f t="shared" si="18"/>
        <v>33371.599999999999</v>
      </c>
      <c r="M30" s="395">
        <f t="shared" si="17"/>
        <v>121691.5</v>
      </c>
      <c r="N30" s="395">
        <f t="shared" si="17"/>
        <v>2909.46</v>
      </c>
      <c r="O30" s="396">
        <f t="shared" si="17"/>
        <v>760</v>
      </c>
      <c r="P30" s="397">
        <f t="shared" si="17"/>
        <v>2055.4</v>
      </c>
      <c r="Q30" s="395">
        <f t="shared" si="17"/>
        <v>9033.18</v>
      </c>
      <c r="R30" s="395">
        <f t="shared" si="17"/>
        <v>229.7</v>
      </c>
      <c r="S30" s="398">
        <f t="shared" si="17"/>
        <v>71.16</v>
      </c>
      <c r="T30" s="397">
        <f t="shared" si="17"/>
        <v>33368.199999999997</v>
      </c>
      <c r="U30" s="399">
        <f t="shared" si="17"/>
        <v>121707</v>
      </c>
      <c r="V30" s="399">
        <f t="shared" si="17"/>
        <v>2790.46</v>
      </c>
      <c r="W30" s="400">
        <f t="shared" si="17"/>
        <v>640.72</v>
      </c>
      <c r="X30" s="397">
        <f t="shared" si="17"/>
        <v>2060.8000000000002</v>
      </c>
      <c r="Y30" s="399">
        <f t="shared" si="17"/>
        <v>9014.34</v>
      </c>
      <c r="Z30" s="399">
        <f t="shared" si="17"/>
        <v>223.94</v>
      </c>
      <c r="AA30" s="401">
        <f t="shared" si="17"/>
        <v>65.679999999999993</v>
      </c>
    </row>
    <row r="31" spans="1:28" s="64" customFormat="1" ht="15" customHeight="1">
      <c r="A31" s="646" t="s">
        <v>325</v>
      </c>
      <c r="B31" s="647"/>
      <c r="C31" s="647"/>
      <c r="D31" s="648"/>
      <c r="E31" s="230">
        <v>300</v>
      </c>
      <c r="F31" s="230">
        <v>400</v>
      </c>
      <c r="G31" s="231">
        <v>7.0000000000000007E-2</v>
      </c>
      <c r="H31" s="230">
        <f t="shared" si="0"/>
        <v>21</v>
      </c>
      <c r="I31" s="230">
        <f>ROUND((F31*G31),0)</f>
        <v>28</v>
      </c>
      <c r="K31" s="160">
        <v>2045</v>
      </c>
      <c r="L31" s="334">
        <v>33747</v>
      </c>
      <c r="M31" s="386">
        <v>123054</v>
      </c>
      <c r="N31" s="386">
        <v>2951.8</v>
      </c>
      <c r="O31" s="387">
        <v>778.2</v>
      </c>
      <c r="P31" s="334">
        <v>2077</v>
      </c>
      <c r="Q31" s="386">
        <v>9127.7000000000007</v>
      </c>
      <c r="R31" s="386">
        <v>232.7</v>
      </c>
      <c r="S31" s="388">
        <v>72.5</v>
      </c>
      <c r="T31" s="334">
        <v>33741</v>
      </c>
      <c r="U31" s="335">
        <v>123064.9</v>
      </c>
      <c r="V31" s="335">
        <v>2826.5</v>
      </c>
      <c r="W31" s="336">
        <v>652.70000000000005</v>
      </c>
      <c r="X31" s="334">
        <v>2083</v>
      </c>
      <c r="Y31" s="335">
        <v>9108.2999999999993</v>
      </c>
      <c r="Z31" s="335">
        <v>226.7</v>
      </c>
      <c r="AA31" s="337">
        <v>66.8</v>
      </c>
      <c r="AB31" s="16"/>
    </row>
    <row r="32" spans="1:28" s="64" customFormat="1" ht="15" customHeight="1">
      <c r="A32" s="174" t="s">
        <v>339</v>
      </c>
      <c r="B32" s="174"/>
      <c r="C32" s="174"/>
      <c r="D32" s="174"/>
      <c r="E32" s="174"/>
      <c r="F32" s="174"/>
      <c r="G32" s="174"/>
      <c r="H32" s="174"/>
      <c r="I32" s="174"/>
      <c r="K32" s="175">
        <v>2046</v>
      </c>
      <c r="L32" s="402">
        <f>L$31</f>
        <v>33747</v>
      </c>
      <c r="M32" s="403">
        <f t="shared" ref="M32:AA46" si="20">M$31</f>
        <v>123054</v>
      </c>
      <c r="N32" s="403">
        <f t="shared" si="20"/>
        <v>2951.8</v>
      </c>
      <c r="O32" s="404">
        <f t="shared" si="20"/>
        <v>778.2</v>
      </c>
      <c r="P32" s="405">
        <f t="shared" si="20"/>
        <v>2077</v>
      </c>
      <c r="Q32" s="403">
        <f t="shared" si="20"/>
        <v>9127.7000000000007</v>
      </c>
      <c r="R32" s="403">
        <f t="shared" si="20"/>
        <v>232.7</v>
      </c>
      <c r="S32" s="406">
        <f t="shared" si="20"/>
        <v>72.5</v>
      </c>
      <c r="T32" s="405">
        <f t="shared" si="20"/>
        <v>33741</v>
      </c>
      <c r="U32" s="407">
        <f t="shared" si="20"/>
        <v>123064.9</v>
      </c>
      <c r="V32" s="407">
        <f t="shared" si="20"/>
        <v>2826.5</v>
      </c>
      <c r="W32" s="408">
        <f t="shared" si="20"/>
        <v>652.70000000000005</v>
      </c>
      <c r="X32" s="405">
        <f t="shared" si="20"/>
        <v>2083</v>
      </c>
      <c r="Y32" s="407">
        <f t="shared" si="20"/>
        <v>9108.2999999999993</v>
      </c>
      <c r="Z32" s="407">
        <f t="shared" si="20"/>
        <v>226.7</v>
      </c>
      <c r="AA32" s="409">
        <f t="shared" si="20"/>
        <v>66.8</v>
      </c>
      <c r="AB32"/>
    </row>
    <row r="33" spans="1:28" s="64" customFormat="1" ht="15" customHeight="1">
      <c r="A33" s="174"/>
      <c r="B33" s="174"/>
      <c r="C33" s="658" t="s">
        <v>330</v>
      </c>
      <c r="D33" s="659"/>
      <c r="E33" s="230">
        <f>SUM(E5:E31)</f>
        <v>41700</v>
      </c>
      <c r="F33" s="230">
        <f>SUM(F5:F31)</f>
        <v>56400</v>
      </c>
      <c r="G33" s="232">
        <f>H33/E33</f>
        <v>5.4052757793764991E-2</v>
      </c>
      <c r="H33" s="230">
        <f>SUM(H5:H31)</f>
        <v>2254</v>
      </c>
      <c r="I33" s="230">
        <f>SUM(I5:I31)</f>
        <v>3043</v>
      </c>
      <c r="K33" s="175">
        <v>2047</v>
      </c>
      <c r="L33" s="405">
        <f t="shared" ref="L33:L46" si="21">L$31</f>
        <v>33747</v>
      </c>
      <c r="M33" s="403">
        <f t="shared" si="20"/>
        <v>123054</v>
      </c>
      <c r="N33" s="403">
        <f t="shared" si="20"/>
        <v>2951.8</v>
      </c>
      <c r="O33" s="404">
        <f t="shared" si="20"/>
        <v>778.2</v>
      </c>
      <c r="P33" s="405">
        <f t="shared" si="20"/>
        <v>2077</v>
      </c>
      <c r="Q33" s="403">
        <f t="shared" si="20"/>
        <v>9127.7000000000007</v>
      </c>
      <c r="R33" s="403">
        <f t="shared" si="20"/>
        <v>232.7</v>
      </c>
      <c r="S33" s="406">
        <f t="shared" si="20"/>
        <v>72.5</v>
      </c>
      <c r="T33" s="405">
        <f t="shared" si="20"/>
        <v>33741</v>
      </c>
      <c r="U33" s="407">
        <f t="shared" si="20"/>
        <v>123064.9</v>
      </c>
      <c r="V33" s="407">
        <f t="shared" si="20"/>
        <v>2826.5</v>
      </c>
      <c r="W33" s="408">
        <f t="shared" si="20"/>
        <v>652.70000000000005</v>
      </c>
      <c r="X33" s="405">
        <f t="shared" si="20"/>
        <v>2083</v>
      </c>
      <c r="Y33" s="407">
        <f t="shared" si="20"/>
        <v>9108.2999999999993</v>
      </c>
      <c r="Z33" s="407">
        <f t="shared" si="20"/>
        <v>226.7</v>
      </c>
      <c r="AA33" s="409">
        <f t="shared" si="20"/>
        <v>66.8</v>
      </c>
      <c r="AB33"/>
    </row>
    <row r="34" spans="1:28" s="64" customFormat="1" ht="15" customHeight="1">
      <c r="A34" s="174"/>
      <c r="B34" s="174"/>
      <c r="C34" s="660" t="s">
        <v>331</v>
      </c>
      <c r="D34" s="661"/>
      <c r="E34" s="228">
        <f>E33/2</f>
        <v>20850</v>
      </c>
      <c r="F34" s="228">
        <f>F33/2</f>
        <v>28200</v>
      </c>
      <c r="G34" s="174"/>
      <c r="H34" s="228">
        <f>H33/2</f>
        <v>1127</v>
      </c>
      <c r="I34" s="228">
        <f>I33/2</f>
        <v>1521.5</v>
      </c>
      <c r="K34" s="175">
        <v>2048</v>
      </c>
      <c r="L34" s="405">
        <f t="shared" si="21"/>
        <v>33747</v>
      </c>
      <c r="M34" s="403">
        <f t="shared" si="20"/>
        <v>123054</v>
      </c>
      <c r="N34" s="403">
        <f t="shared" si="20"/>
        <v>2951.8</v>
      </c>
      <c r="O34" s="404">
        <f t="shared" si="20"/>
        <v>778.2</v>
      </c>
      <c r="P34" s="405">
        <f t="shared" si="20"/>
        <v>2077</v>
      </c>
      <c r="Q34" s="403">
        <f t="shared" si="20"/>
        <v>9127.7000000000007</v>
      </c>
      <c r="R34" s="403">
        <f t="shared" si="20"/>
        <v>232.7</v>
      </c>
      <c r="S34" s="406">
        <f t="shared" si="20"/>
        <v>72.5</v>
      </c>
      <c r="T34" s="405">
        <f t="shared" si="20"/>
        <v>33741</v>
      </c>
      <c r="U34" s="407">
        <f t="shared" si="20"/>
        <v>123064.9</v>
      </c>
      <c r="V34" s="407">
        <f t="shared" si="20"/>
        <v>2826.5</v>
      </c>
      <c r="W34" s="408">
        <f t="shared" si="20"/>
        <v>652.70000000000005</v>
      </c>
      <c r="X34" s="405">
        <f t="shared" si="20"/>
        <v>2083</v>
      </c>
      <c r="Y34" s="407">
        <f t="shared" si="20"/>
        <v>9108.2999999999993</v>
      </c>
      <c r="Z34" s="407">
        <f t="shared" si="20"/>
        <v>226.7</v>
      </c>
      <c r="AA34" s="409">
        <f t="shared" si="20"/>
        <v>66.8</v>
      </c>
      <c r="AB34"/>
    </row>
    <row r="35" spans="1:28" s="64" customFormat="1" ht="15" customHeight="1">
      <c r="A35" s="174"/>
      <c r="B35" s="174"/>
      <c r="C35" s="174"/>
      <c r="D35" s="174"/>
      <c r="E35" s="174"/>
      <c r="F35" s="174"/>
      <c r="G35" s="174"/>
      <c r="H35" s="174"/>
      <c r="I35" s="174"/>
      <c r="K35" s="175">
        <v>2049</v>
      </c>
      <c r="L35" s="405">
        <f t="shared" si="21"/>
        <v>33747</v>
      </c>
      <c r="M35" s="403">
        <f t="shared" si="20"/>
        <v>123054</v>
      </c>
      <c r="N35" s="403">
        <f t="shared" si="20"/>
        <v>2951.8</v>
      </c>
      <c r="O35" s="404">
        <f t="shared" si="20"/>
        <v>778.2</v>
      </c>
      <c r="P35" s="405">
        <f t="shared" si="20"/>
        <v>2077</v>
      </c>
      <c r="Q35" s="403">
        <f t="shared" si="20"/>
        <v>9127.7000000000007</v>
      </c>
      <c r="R35" s="403">
        <f t="shared" si="20"/>
        <v>232.7</v>
      </c>
      <c r="S35" s="406">
        <f t="shared" si="20"/>
        <v>72.5</v>
      </c>
      <c r="T35" s="405">
        <f t="shared" si="20"/>
        <v>33741</v>
      </c>
      <c r="U35" s="407">
        <f t="shared" si="20"/>
        <v>123064.9</v>
      </c>
      <c r="V35" s="407">
        <f t="shared" si="20"/>
        <v>2826.5</v>
      </c>
      <c r="W35" s="408">
        <f t="shared" si="20"/>
        <v>652.70000000000005</v>
      </c>
      <c r="X35" s="405">
        <f t="shared" si="20"/>
        <v>2083</v>
      </c>
      <c r="Y35" s="407">
        <f t="shared" si="20"/>
        <v>9108.2999999999993</v>
      </c>
      <c r="Z35" s="407">
        <f t="shared" ref="T35:AA46" si="22">Z$31</f>
        <v>226.7</v>
      </c>
      <c r="AA35" s="409">
        <f t="shared" si="22"/>
        <v>66.8</v>
      </c>
      <c r="AB35"/>
    </row>
    <row r="36" spans="1:28" s="64" customFormat="1" ht="15" customHeight="1">
      <c r="A36" s="174"/>
      <c r="B36" s="174"/>
      <c r="C36" s="174"/>
      <c r="D36" s="174"/>
      <c r="E36" s="174"/>
      <c r="F36" s="174"/>
      <c r="G36" s="174"/>
      <c r="H36" s="174"/>
      <c r="I36" s="174"/>
      <c r="K36" s="175">
        <v>2050</v>
      </c>
      <c r="L36" s="405">
        <f t="shared" si="21"/>
        <v>33747</v>
      </c>
      <c r="M36" s="403">
        <f t="shared" si="20"/>
        <v>123054</v>
      </c>
      <c r="N36" s="403">
        <f t="shared" si="20"/>
        <v>2951.8</v>
      </c>
      <c r="O36" s="404">
        <f t="shared" si="20"/>
        <v>778.2</v>
      </c>
      <c r="P36" s="405">
        <f t="shared" si="20"/>
        <v>2077</v>
      </c>
      <c r="Q36" s="403">
        <f t="shared" si="20"/>
        <v>9127.7000000000007</v>
      </c>
      <c r="R36" s="403">
        <f t="shared" si="20"/>
        <v>232.7</v>
      </c>
      <c r="S36" s="406">
        <f t="shared" si="20"/>
        <v>72.5</v>
      </c>
      <c r="T36" s="405">
        <f t="shared" si="22"/>
        <v>33741</v>
      </c>
      <c r="U36" s="407">
        <f t="shared" si="22"/>
        <v>123064.9</v>
      </c>
      <c r="V36" s="407">
        <f t="shared" si="22"/>
        <v>2826.5</v>
      </c>
      <c r="W36" s="408">
        <f t="shared" si="22"/>
        <v>652.70000000000005</v>
      </c>
      <c r="X36" s="405">
        <f t="shared" si="22"/>
        <v>2083</v>
      </c>
      <c r="Y36" s="407">
        <f t="shared" si="22"/>
        <v>9108.2999999999993</v>
      </c>
      <c r="Z36" s="407">
        <f t="shared" si="22"/>
        <v>226.7</v>
      </c>
      <c r="AA36" s="409">
        <f t="shared" si="22"/>
        <v>66.8</v>
      </c>
      <c r="AB36"/>
    </row>
    <row r="37" spans="1:28" s="64" customFormat="1" ht="15" customHeight="1">
      <c r="A37" s="174"/>
      <c r="B37" s="174"/>
      <c r="C37" s="174"/>
      <c r="D37" s="233">
        <v>2019</v>
      </c>
      <c r="E37" s="233">
        <v>2045</v>
      </c>
      <c r="F37" s="174"/>
      <c r="G37" s="174"/>
      <c r="H37" s="174"/>
      <c r="I37" s="174"/>
      <c r="K37" s="175">
        <v>2051</v>
      </c>
      <c r="L37" s="402">
        <f t="shared" si="21"/>
        <v>33747</v>
      </c>
      <c r="M37" s="403">
        <f t="shared" si="20"/>
        <v>123054</v>
      </c>
      <c r="N37" s="403">
        <f t="shared" si="20"/>
        <v>2951.8</v>
      </c>
      <c r="O37" s="404">
        <f t="shared" si="20"/>
        <v>778.2</v>
      </c>
      <c r="P37" s="405">
        <f t="shared" si="20"/>
        <v>2077</v>
      </c>
      <c r="Q37" s="403">
        <f t="shared" si="20"/>
        <v>9127.7000000000007</v>
      </c>
      <c r="R37" s="403">
        <f t="shared" si="20"/>
        <v>232.7</v>
      </c>
      <c r="S37" s="406">
        <f t="shared" si="20"/>
        <v>72.5</v>
      </c>
      <c r="T37" s="405">
        <f t="shared" si="22"/>
        <v>33741</v>
      </c>
      <c r="U37" s="407">
        <f t="shared" si="22"/>
        <v>123064.9</v>
      </c>
      <c r="V37" s="407">
        <f t="shared" si="22"/>
        <v>2826.5</v>
      </c>
      <c r="W37" s="408">
        <f t="shared" si="22"/>
        <v>652.70000000000005</v>
      </c>
      <c r="X37" s="405">
        <f t="shared" si="22"/>
        <v>2083</v>
      </c>
      <c r="Y37" s="407">
        <f t="shared" si="22"/>
        <v>9108.2999999999993</v>
      </c>
      <c r="Z37" s="407">
        <f t="shared" si="22"/>
        <v>226.7</v>
      </c>
      <c r="AA37" s="409">
        <f t="shared" si="22"/>
        <v>66.8</v>
      </c>
      <c r="AB37"/>
    </row>
    <row r="38" spans="1:28" ht="15" customHeight="1">
      <c r="A38" s="174"/>
      <c r="B38" s="234" t="s">
        <v>241</v>
      </c>
      <c r="C38" s="174"/>
      <c r="D38" s="174">
        <f>E34</f>
        <v>20850</v>
      </c>
      <c r="E38" s="174">
        <f>F34</f>
        <v>28200</v>
      </c>
      <c r="F38" s="174"/>
      <c r="G38" s="174"/>
      <c r="H38" s="174"/>
      <c r="I38" s="174"/>
      <c r="K38" s="175">
        <v>2052</v>
      </c>
      <c r="L38" s="405">
        <f t="shared" si="21"/>
        <v>33747</v>
      </c>
      <c r="M38" s="403">
        <f t="shared" si="20"/>
        <v>123054</v>
      </c>
      <c r="N38" s="403">
        <f t="shared" si="20"/>
        <v>2951.8</v>
      </c>
      <c r="O38" s="404">
        <f t="shared" si="20"/>
        <v>778.2</v>
      </c>
      <c r="P38" s="405">
        <f t="shared" si="20"/>
        <v>2077</v>
      </c>
      <c r="Q38" s="403">
        <f t="shared" si="20"/>
        <v>9127.7000000000007</v>
      </c>
      <c r="R38" s="403">
        <f t="shared" si="20"/>
        <v>232.7</v>
      </c>
      <c r="S38" s="406">
        <f t="shared" si="20"/>
        <v>72.5</v>
      </c>
      <c r="T38" s="405">
        <f t="shared" si="22"/>
        <v>33741</v>
      </c>
      <c r="U38" s="407">
        <f t="shared" si="22"/>
        <v>123064.9</v>
      </c>
      <c r="V38" s="407">
        <f t="shared" si="22"/>
        <v>2826.5</v>
      </c>
      <c r="W38" s="408">
        <f t="shared" si="22"/>
        <v>652.70000000000005</v>
      </c>
      <c r="X38" s="405">
        <f t="shared" si="22"/>
        <v>2083</v>
      </c>
      <c r="Y38" s="407">
        <f t="shared" si="22"/>
        <v>9108.2999999999993</v>
      </c>
      <c r="Z38" s="407">
        <f t="shared" si="22"/>
        <v>226.7</v>
      </c>
      <c r="AA38" s="409">
        <f t="shared" si="22"/>
        <v>66.8</v>
      </c>
    </row>
    <row r="39" spans="1:28" ht="15" customHeight="1">
      <c r="A39" s="174"/>
      <c r="B39" s="234" t="s">
        <v>329</v>
      </c>
      <c r="C39" s="235">
        <f>(E38/D38)^(1/(E37-D37))-1</f>
        <v>1.1681861149210881E-2</v>
      </c>
      <c r="D39" s="174"/>
      <c r="E39" s="174"/>
      <c r="F39" s="174"/>
      <c r="G39" s="174"/>
      <c r="H39" s="174"/>
      <c r="I39" s="174"/>
      <c r="K39" s="175">
        <v>2053</v>
      </c>
      <c r="L39" s="405">
        <f t="shared" si="21"/>
        <v>33747</v>
      </c>
      <c r="M39" s="403">
        <f t="shared" si="20"/>
        <v>123054</v>
      </c>
      <c r="N39" s="403">
        <f t="shared" si="20"/>
        <v>2951.8</v>
      </c>
      <c r="O39" s="404">
        <f t="shared" si="20"/>
        <v>778.2</v>
      </c>
      <c r="P39" s="405">
        <f t="shared" si="20"/>
        <v>2077</v>
      </c>
      <c r="Q39" s="403">
        <f t="shared" si="20"/>
        <v>9127.7000000000007</v>
      </c>
      <c r="R39" s="403">
        <f t="shared" si="20"/>
        <v>232.7</v>
      </c>
      <c r="S39" s="406">
        <f t="shared" si="20"/>
        <v>72.5</v>
      </c>
      <c r="T39" s="405">
        <f t="shared" si="22"/>
        <v>33741</v>
      </c>
      <c r="U39" s="407">
        <f t="shared" si="22"/>
        <v>123064.9</v>
      </c>
      <c r="V39" s="407">
        <f t="shared" si="22"/>
        <v>2826.5</v>
      </c>
      <c r="W39" s="408">
        <f t="shared" si="22"/>
        <v>652.70000000000005</v>
      </c>
      <c r="X39" s="405">
        <f t="shared" si="22"/>
        <v>2083</v>
      </c>
      <c r="Y39" s="407">
        <f t="shared" si="22"/>
        <v>9108.2999999999993</v>
      </c>
      <c r="Z39" s="407">
        <f t="shared" si="22"/>
        <v>226.7</v>
      </c>
      <c r="AA39" s="409">
        <f t="shared" si="22"/>
        <v>66.8</v>
      </c>
    </row>
    <row r="40" spans="1:28" ht="15" customHeight="1">
      <c r="A40" s="174"/>
      <c r="B40" s="174"/>
      <c r="C40" s="174"/>
      <c r="D40" s="174"/>
      <c r="E40" s="174"/>
      <c r="F40" s="174"/>
      <c r="G40" s="174"/>
      <c r="H40" s="174"/>
      <c r="I40" s="174"/>
      <c r="K40" s="175">
        <v>2054</v>
      </c>
      <c r="L40" s="405">
        <f t="shared" si="21"/>
        <v>33747</v>
      </c>
      <c r="M40" s="403">
        <f t="shared" si="20"/>
        <v>123054</v>
      </c>
      <c r="N40" s="403">
        <f t="shared" si="20"/>
        <v>2951.8</v>
      </c>
      <c r="O40" s="404">
        <f t="shared" si="20"/>
        <v>778.2</v>
      </c>
      <c r="P40" s="405">
        <f t="shared" si="20"/>
        <v>2077</v>
      </c>
      <c r="Q40" s="403">
        <f t="shared" si="20"/>
        <v>9127.7000000000007</v>
      </c>
      <c r="R40" s="403">
        <f t="shared" si="20"/>
        <v>232.7</v>
      </c>
      <c r="S40" s="406">
        <f t="shared" si="20"/>
        <v>72.5</v>
      </c>
      <c r="T40" s="405">
        <f t="shared" si="22"/>
        <v>33741</v>
      </c>
      <c r="U40" s="407">
        <f t="shared" si="22"/>
        <v>123064.9</v>
      </c>
      <c r="V40" s="407">
        <f t="shared" si="22"/>
        <v>2826.5</v>
      </c>
      <c r="W40" s="408">
        <f t="shared" si="22"/>
        <v>652.70000000000005</v>
      </c>
      <c r="X40" s="405">
        <f t="shared" si="22"/>
        <v>2083</v>
      </c>
      <c r="Y40" s="407">
        <f t="shared" si="22"/>
        <v>9108.2999999999993</v>
      </c>
      <c r="Z40" s="407">
        <f t="shared" si="22"/>
        <v>226.7</v>
      </c>
      <c r="AA40" s="409">
        <f t="shared" si="22"/>
        <v>66.8</v>
      </c>
    </row>
    <row r="41" spans="1:28" ht="15" customHeight="1" thickBot="1">
      <c r="A41" s="207"/>
      <c r="B41" s="207"/>
      <c r="C41" s="207"/>
      <c r="D41" s="207"/>
      <c r="E41" s="207"/>
      <c r="F41" s="207"/>
      <c r="G41" s="207"/>
      <c r="H41" s="207"/>
      <c r="I41" s="207"/>
      <c r="K41" s="184">
        <v>2055</v>
      </c>
      <c r="L41" s="410">
        <f t="shared" si="21"/>
        <v>33747</v>
      </c>
      <c r="M41" s="411">
        <f t="shared" si="20"/>
        <v>123054</v>
      </c>
      <c r="N41" s="411">
        <f t="shared" si="20"/>
        <v>2951.8</v>
      </c>
      <c r="O41" s="412">
        <f t="shared" si="20"/>
        <v>778.2</v>
      </c>
      <c r="P41" s="410">
        <f t="shared" si="20"/>
        <v>2077</v>
      </c>
      <c r="Q41" s="411">
        <f t="shared" si="20"/>
        <v>9127.7000000000007</v>
      </c>
      <c r="R41" s="411">
        <f t="shared" si="20"/>
        <v>232.7</v>
      </c>
      <c r="S41" s="413">
        <f t="shared" si="20"/>
        <v>72.5</v>
      </c>
      <c r="T41" s="410">
        <f t="shared" si="22"/>
        <v>33741</v>
      </c>
      <c r="U41" s="414">
        <f t="shared" si="22"/>
        <v>123064.9</v>
      </c>
      <c r="V41" s="414">
        <f t="shared" si="22"/>
        <v>2826.5</v>
      </c>
      <c r="W41" s="415">
        <f t="shared" si="22"/>
        <v>652.70000000000005</v>
      </c>
      <c r="X41" s="410">
        <f t="shared" si="22"/>
        <v>2083</v>
      </c>
      <c r="Y41" s="414">
        <f t="shared" si="22"/>
        <v>9108.2999999999993</v>
      </c>
      <c r="Z41" s="414">
        <f t="shared" si="22"/>
        <v>226.7</v>
      </c>
      <c r="AA41" s="416">
        <f t="shared" si="22"/>
        <v>66.8</v>
      </c>
      <c r="AB41" s="8"/>
    </row>
    <row r="42" spans="1:28" ht="15" customHeight="1">
      <c r="A42" s="207"/>
      <c r="B42" s="207"/>
      <c r="C42" s="207"/>
      <c r="D42" s="207"/>
      <c r="E42" s="207"/>
      <c r="F42" s="207"/>
      <c r="G42" s="207"/>
      <c r="H42" s="207"/>
      <c r="I42" s="207"/>
      <c r="K42" s="175">
        <v>2056</v>
      </c>
      <c r="L42" s="176">
        <f t="shared" si="21"/>
        <v>33747</v>
      </c>
      <c r="M42" s="177">
        <f t="shared" si="20"/>
        <v>123054</v>
      </c>
      <c r="N42" s="177">
        <f t="shared" si="20"/>
        <v>2951.8</v>
      </c>
      <c r="O42" s="178">
        <f t="shared" si="20"/>
        <v>778.2</v>
      </c>
      <c r="P42" s="179">
        <f t="shared" si="20"/>
        <v>2077</v>
      </c>
      <c r="Q42" s="177">
        <f t="shared" si="20"/>
        <v>9127.7000000000007</v>
      </c>
      <c r="R42" s="177">
        <f t="shared" si="20"/>
        <v>232.7</v>
      </c>
      <c r="S42" s="180">
        <f t="shared" si="20"/>
        <v>72.5</v>
      </c>
      <c r="T42" s="179">
        <f t="shared" si="22"/>
        <v>33741</v>
      </c>
      <c r="U42" s="181">
        <f t="shared" si="22"/>
        <v>123064.9</v>
      </c>
      <c r="V42" s="181">
        <f t="shared" si="22"/>
        <v>2826.5</v>
      </c>
      <c r="W42" s="182">
        <f t="shared" si="22"/>
        <v>652.70000000000005</v>
      </c>
      <c r="X42" s="179">
        <f t="shared" si="22"/>
        <v>2083</v>
      </c>
      <c r="Y42" s="181">
        <f t="shared" si="22"/>
        <v>9108.2999999999993</v>
      </c>
      <c r="Z42" s="181">
        <f t="shared" si="22"/>
        <v>226.7</v>
      </c>
      <c r="AA42" s="183">
        <f t="shared" si="22"/>
        <v>66.8</v>
      </c>
      <c r="AB42" s="64"/>
    </row>
    <row r="43" spans="1:28" s="64" customFormat="1" ht="15" customHeight="1">
      <c r="A43" s="174"/>
      <c r="B43" s="174"/>
      <c r="C43" s="174"/>
      <c r="D43" s="174"/>
      <c r="E43" s="174"/>
      <c r="F43" s="174"/>
      <c r="G43" s="174"/>
      <c r="H43" s="174"/>
      <c r="I43" s="174"/>
      <c r="K43" s="175">
        <v>2057</v>
      </c>
      <c r="L43" s="179">
        <f t="shared" si="21"/>
        <v>33747</v>
      </c>
      <c r="M43" s="177">
        <f t="shared" si="20"/>
        <v>123054</v>
      </c>
      <c r="N43" s="177">
        <f t="shared" si="20"/>
        <v>2951.8</v>
      </c>
      <c r="O43" s="178">
        <f t="shared" si="20"/>
        <v>778.2</v>
      </c>
      <c r="P43" s="179">
        <f t="shared" si="20"/>
        <v>2077</v>
      </c>
      <c r="Q43" s="177">
        <f t="shared" si="20"/>
        <v>9127.7000000000007</v>
      </c>
      <c r="R43" s="177">
        <f t="shared" si="20"/>
        <v>232.7</v>
      </c>
      <c r="S43" s="180">
        <f t="shared" si="20"/>
        <v>72.5</v>
      </c>
      <c r="T43" s="179">
        <f t="shared" si="22"/>
        <v>33741</v>
      </c>
      <c r="U43" s="181">
        <f t="shared" si="22"/>
        <v>123064.9</v>
      </c>
      <c r="V43" s="181">
        <f t="shared" si="22"/>
        <v>2826.5</v>
      </c>
      <c r="W43" s="182">
        <f t="shared" si="22"/>
        <v>652.70000000000005</v>
      </c>
      <c r="X43" s="179">
        <f t="shared" si="22"/>
        <v>2083</v>
      </c>
      <c r="Y43" s="181">
        <f t="shared" si="22"/>
        <v>9108.2999999999993</v>
      </c>
      <c r="Z43" s="181">
        <f t="shared" si="22"/>
        <v>226.7</v>
      </c>
      <c r="AA43" s="183">
        <f t="shared" si="22"/>
        <v>66.8</v>
      </c>
    </row>
    <row r="44" spans="1:28" s="64" customFormat="1" ht="15" customHeight="1">
      <c r="A44" s="174"/>
      <c r="B44" s="174"/>
      <c r="C44" s="174"/>
      <c r="D44" s="174"/>
      <c r="E44" s="174"/>
      <c r="F44" s="174"/>
      <c r="G44" s="174"/>
      <c r="H44" s="174"/>
      <c r="I44" s="174"/>
      <c r="K44" s="175">
        <v>2058</v>
      </c>
      <c r="L44" s="179">
        <f t="shared" si="21"/>
        <v>33747</v>
      </c>
      <c r="M44" s="177">
        <f t="shared" si="20"/>
        <v>123054</v>
      </c>
      <c r="N44" s="177">
        <f t="shared" si="20"/>
        <v>2951.8</v>
      </c>
      <c r="O44" s="178">
        <f t="shared" si="20"/>
        <v>778.2</v>
      </c>
      <c r="P44" s="179">
        <f t="shared" si="20"/>
        <v>2077</v>
      </c>
      <c r="Q44" s="177">
        <f t="shared" si="20"/>
        <v>9127.7000000000007</v>
      </c>
      <c r="R44" s="177">
        <f t="shared" si="20"/>
        <v>232.7</v>
      </c>
      <c r="S44" s="180">
        <f t="shared" si="20"/>
        <v>72.5</v>
      </c>
      <c r="T44" s="179">
        <f t="shared" si="22"/>
        <v>33741</v>
      </c>
      <c r="U44" s="181">
        <f t="shared" si="22"/>
        <v>123064.9</v>
      </c>
      <c r="V44" s="181">
        <f t="shared" si="22"/>
        <v>2826.5</v>
      </c>
      <c r="W44" s="182">
        <f t="shared" si="22"/>
        <v>652.70000000000005</v>
      </c>
      <c r="X44" s="179">
        <f t="shared" si="22"/>
        <v>2083</v>
      </c>
      <c r="Y44" s="181">
        <f t="shared" si="22"/>
        <v>9108.2999999999993</v>
      </c>
      <c r="Z44" s="181">
        <f t="shared" si="22"/>
        <v>226.7</v>
      </c>
      <c r="AA44" s="183">
        <f t="shared" si="22"/>
        <v>66.8</v>
      </c>
    </row>
    <row r="45" spans="1:28" s="64" customFormat="1" ht="15" customHeight="1">
      <c r="A45" s="174"/>
      <c r="B45" s="174"/>
      <c r="C45" s="174" t="s">
        <v>236</v>
      </c>
      <c r="D45" s="174" t="s">
        <v>235</v>
      </c>
      <c r="E45" s="174" t="s">
        <v>237</v>
      </c>
      <c r="F45" s="174" t="s">
        <v>481</v>
      </c>
      <c r="G45" s="174"/>
      <c r="H45" s="174"/>
      <c r="I45" s="174"/>
      <c r="K45" s="175">
        <v>2059</v>
      </c>
      <c r="L45" s="179">
        <f t="shared" si="21"/>
        <v>33747</v>
      </c>
      <c r="M45" s="177">
        <f t="shared" si="20"/>
        <v>123054</v>
      </c>
      <c r="N45" s="177">
        <f t="shared" si="20"/>
        <v>2951.8</v>
      </c>
      <c r="O45" s="178">
        <f t="shared" si="20"/>
        <v>778.2</v>
      </c>
      <c r="P45" s="179">
        <f t="shared" si="20"/>
        <v>2077</v>
      </c>
      <c r="Q45" s="177">
        <f t="shared" si="20"/>
        <v>9127.7000000000007</v>
      </c>
      <c r="R45" s="177">
        <f t="shared" si="20"/>
        <v>232.7</v>
      </c>
      <c r="S45" s="180">
        <f t="shared" si="20"/>
        <v>72.5</v>
      </c>
      <c r="T45" s="179">
        <f t="shared" si="22"/>
        <v>33741</v>
      </c>
      <c r="U45" s="181">
        <f t="shared" si="22"/>
        <v>123064.9</v>
      </c>
      <c r="V45" s="181">
        <f t="shared" si="22"/>
        <v>2826.5</v>
      </c>
      <c r="W45" s="182">
        <f t="shared" si="22"/>
        <v>652.70000000000005</v>
      </c>
      <c r="X45" s="179">
        <f t="shared" si="22"/>
        <v>2083</v>
      </c>
      <c r="Y45" s="181">
        <f t="shared" si="22"/>
        <v>9108.2999999999993</v>
      </c>
      <c r="Z45" s="181">
        <f t="shared" si="22"/>
        <v>226.7</v>
      </c>
      <c r="AA45" s="183">
        <f t="shared" si="22"/>
        <v>66.8</v>
      </c>
    </row>
    <row r="46" spans="1:28" s="64" customFormat="1" ht="15" customHeight="1" thickBot="1">
      <c r="A46" s="174"/>
      <c r="B46" s="206">
        <v>2019</v>
      </c>
      <c r="C46" s="236">
        <f>D38</f>
        <v>20850</v>
      </c>
      <c r="D46" s="237">
        <f>C46-E46</f>
        <v>19722.014999999999</v>
      </c>
      <c r="E46" s="237">
        <f>C46*Inputs!$B$13</f>
        <v>1127.9850000000001</v>
      </c>
      <c r="F46" s="248">
        <f>C46/$C$46</f>
        <v>1</v>
      </c>
      <c r="G46" s="174"/>
      <c r="H46" s="174"/>
      <c r="I46" s="174"/>
      <c r="K46" s="184">
        <v>2060</v>
      </c>
      <c r="L46" s="185">
        <f t="shared" si="21"/>
        <v>33747</v>
      </c>
      <c r="M46" s="186">
        <f t="shared" si="20"/>
        <v>123054</v>
      </c>
      <c r="N46" s="186">
        <f t="shared" si="20"/>
        <v>2951.8</v>
      </c>
      <c r="O46" s="187">
        <f t="shared" si="20"/>
        <v>778.2</v>
      </c>
      <c r="P46" s="185">
        <f t="shared" si="20"/>
        <v>2077</v>
      </c>
      <c r="Q46" s="186">
        <f t="shared" si="20"/>
        <v>9127.7000000000007</v>
      </c>
      <c r="R46" s="186">
        <f t="shared" si="20"/>
        <v>232.7</v>
      </c>
      <c r="S46" s="188">
        <f t="shared" si="20"/>
        <v>72.5</v>
      </c>
      <c r="T46" s="185">
        <f t="shared" si="22"/>
        <v>33741</v>
      </c>
      <c r="U46" s="189">
        <f t="shared" si="22"/>
        <v>123064.9</v>
      </c>
      <c r="V46" s="189">
        <f t="shared" si="22"/>
        <v>2826.5</v>
      </c>
      <c r="W46" s="190">
        <f t="shared" si="22"/>
        <v>652.70000000000005</v>
      </c>
      <c r="X46" s="185">
        <f t="shared" si="22"/>
        <v>2083</v>
      </c>
      <c r="Y46" s="189">
        <f t="shared" si="22"/>
        <v>9108.2999999999993</v>
      </c>
      <c r="Z46" s="189">
        <f t="shared" si="22"/>
        <v>226.7</v>
      </c>
      <c r="AA46" s="191">
        <f t="shared" si="22"/>
        <v>66.8</v>
      </c>
      <c r="AB46" s="8"/>
    </row>
    <row r="47" spans="1:28" s="64" customFormat="1" ht="15" customHeight="1">
      <c r="A47" s="174"/>
      <c r="B47" s="174">
        <v>2020</v>
      </c>
      <c r="C47" s="238">
        <f>C46*(1+$C$39)</f>
        <v>21093.566804961047</v>
      </c>
      <c r="D47" s="237">
        <f t="shared" ref="D47:D51" si="23">C47-E47</f>
        <v>19952.404840812655</v>
      </c>
      <c r="E47" s="237">
        <f>C47*Inputs!$B$13</f>
        <v>1141.1619641483926</v>
      </c>
      <c r="F47" s="248">
        <f t="shared" ref="F47:F87" si="24">C47/$C$46</f>
        <v>1.0116818611492109</v>
      </c>
      <c r="G47" s="174"/>
      <c r="H47" s="174"/>
      <c r="I47" s="174"/>
    </row>
    <row r="48" spans="1:28" s="64" customFormat="1" ht="15" customHeight="1" thickBot="1">
      <c r="A48" s="174"/>
      <c r="B48" s="174">
        <v>2021</v>
      </c>
      <c r="C48" s="238">
        <f t="shared" ref="C48:C71" si="25">C47*(1+$C$39)</f>
        <v>21339.978923518207</v>
      </c>
      <c r="D48" s="237">
        <f t="shared" si="23"/>
        <v>20185.48606375587</v>
      </c>
      <c r="E48" s="237">
        <f>C48*Inputs!$B$13</f>
        <v>1154.492859762335</v>
      </c>
      <c r="F48" s="248">
        <f t="shared" si="24"/>
        <v>1.0235001881783312</v>
      </c>
      <c r="G48" s="174"/>
      <c r="H48" s="174"/>
      <c r="I48" s="174"/>
    </row>
    <row r="49" spans="1:92" ht="15" customHeight="1" thickBot="1">
      <c r="A49" s="174"/>
      <c r="B49" s="174">
        <v>2022</v>
      </c>
      <c r="C49" s="238">
        <f t="shared" si="25"/>
        <v>21589.269594229834</v>
      </c>
      <c r="D49" s="237">
        <f t="shared" si="23"/>
        <v>20421.290109181999</v>
      </c>
      <c r="E49" s="237">
        <f>C49*Inputs!$B$13</f>
        <v>1167.979485047834</v>
      </c>
      <c r="F49" s="248">
        <f t="shared" si="24"/>
        <v>1.0354565752628218</v>
      </c>
      <c r="G49" s="174"/>
      <c r="H49" s="174"/>
      <c r="I49" s="174"/>
      <c r="K49" s="64"/>
      <c r="L49" s="64"/>
      <c r="M49" s="64"/>
      <c r="N49" s="64"/>
      <c r="O49" s="64"/>
      <c r="P49" s="64"/>
      <c r="Q49" s="64"/>
      <c r="R49" s="64"/>
      <c r="S49" s="64"/>
      <c r="T49" s="667" t="s">
        <v>485</v>
      </c>
      <c r="U49" s="667"/>
      <c r="V49" s="667"/>
      <c r="W49" s="667"/>
      <c r="X49" s="667"/>
      <c r="Y49" s="667"/>
      <c r="Z49" s="667"/>
      <c r="AA49" s="667"/>
      <c r="AC49" s="64"/>
      <c r="AD49" s="64"/>
      <c r="AG49" s="64"/>
      <c r="AH49" s="64"/>
      <c r="AI49" s="64"/>
      <c r="AJ49" s="64"/>
      <c r="CG49"/>
      <c r="CH49"/>
      <c r="CI49"/>
      <c r="CJ49"/>
      <c r="CK49"/>
      <c r="CL49"/>
      <c r="CM49"/>
      <c r="CN49"/>
    </row>
    <row r="50" spans="1:92" ht="15" customHeight="1" thickBot="1">
      <c r="A50" s="174"/>
      <c r="B50" s="174">
        <v>2023</v>
      </c>
      <c r="C50" s="238">
        <f t="shared" si="25"/>
        <v>21841.472443942508</v>
      </c>
      <c r="D50" s="237">
        <f t="shared" si="23"/>
        <v>20659.848784725218</v>
      </c>
      <c r="E50" s="237">
        <f>C50*Inputs!$B$13</f>
        <v>1181.6236592172897</v>
      </c>
      <c r="F50" s="248">
        <f t="shared" si="24"/>
        <v>1.0475526352010796</v>
      </c>
      <c r="G50" s="174"/>
      <c r="H50" s="174"/>
      <c r="I50" s="174"/>
      <c r="K50" s="64"/>
      <c r="L50" s="64"/>
      <c r="M50" s="64"/>
      <c r="N50" s="64"/>
      <c r="O50" s="64"/>
      <c r="P50" s="64"/>
      <c r="Q50" s="64"/>
      <c r="R50" s="64"/>
      <c r="S50" s="664" t="s">
        <v>0</v>
      </c>
      <c r="T50" s="668" t="s">
        <v>349</v>
      </c>
      <c r="U50" s="669"/>
      <c r="V50" s="669"/>
      <c r="W50" s="670"/>
      <c r="X50" s="668" t="s">
        <v>194</v>
      </c>
      <c r="Y50" s="671"/>
      <c r="AE50"/>
      <c r="AF50"/>
    </row>
    <row r="51" spans="1:92" ht="15" customHeight="1">
      <c r="A51" s="174"/>
      <c r="B51" s="174">
        <v>2024</v>
      </c>
      <c r="C51" s="238">
        <f t="shared" si="25"/>
        <v>22096.621492326962</v>
      </c>
      <c r="D51" s="237">
        <f t="shared" si="23"/>
        <v>20901.194269592073</v>
      </c>
      <c r="E51" s="237">
        <f>C51*Inputs!$B$13</f>
        <v>1195.4272227348886</v>
      </c>
      <c r="F51" s="248">
        <f t="shared" si="24"/>
        <v>1.0597899996319886</v>
      </c>
      <c r="G51" s="174"/>
      <c r="H51" s="174"/>
      <c r="I51" s="174"/>
      <c r="K51" s="64"/>
      <c r="L51" s="64"/>
      <c r="M51" s="64"/>
      <c r="N51" s="64"/>
      <c r="O51" s="64"/>
      <c r="P51" s="64"/>
      <c r="Q51" s="64"/>
      <c r="R51" s="64"/>
      <c r="S51" s="665"/>
      <c r="T51" s="639" t="s">
        <v>345</v>
      </c>
      <c r="U51" s="640" t="s">
        <v>345</v>
      </c>
      <c r="V51" s="640" t="s">
        <v>346</v>
      </c>
      <c r="W51" s="672" t="s">
        <v>351</v>
      </c>
      <c r="X51" s="639" t="s">
        <v>345</v>
      </c>
      <c r="Y51" s="641" t="s">
        <v>345</v>
      </c>
      <c r="Z51" s="164" t="s">
        <v>349</v>
      </c>
      <c r="AA51" s="165" t="s">
        <v>194</v>
      </c>
      <c r="AE51"/>
      <c r="AF51"/>
    </row>
    <row r="52" spans="1:92" ht="15" customHeight="1">
      <c r="A52" s="174"/>
      <c r="B52" s="174">
        <v>2025</v>
      </c>
      <c r="C52" s="238">
        <f t="shared" si="25"/>
        <v>22354.751156466995</v>
      </c>
      <c r="D52" s="237">
        <f>C52-E52</f>
        <v>21145.359118902132</v>
      </c>
      <c r="E52" s="237">
        <f>C52*Inputs!$B$13</f>
        <v>1209.3920375648645</v>
      </c>
      <c r="F52" s="248">
        <f t="shared" si="24"/>
        <v>1.0721703192550118</v>
      </c>
      <c r="G52" s="174"/>
      <c r="H52" s="174"/>
      <c r="I52" s="174"/>
      <c r="K52" s="64"/>
      <c r="L52" s="64"/>
      <c r="M52" s="64"/>
      <c r="N52" s="64"/>
      <c r="O52" s="64"/>
      <c r="P52" s="64"/>
      <c r="Q52" s="64"/>
      <c r="R52" s="64"/>
      <c r="S52" s="665"/>
      <c r="T52" s="639"/>
      <c r="U52" s="640"/>
      <c r="V52" s="640"/>
      <c r="W52" s="671"/>
      <c r="X52" s="639"/>
      <c r="Y52" s="641"/>
      <c r="Z52" s="662" t="s">
        <v>358</v>
      </c>
      <c r="AA52" s="663"/>
      <c r="AE52"/>
      <c r="AF52"/>
    </row>
    <row r="53" spans="1:92" ht="15" customHeight="1" thickBot="1">
      <c r="A53" s="239"/>
      <c r="B53" s="174">
        <v>2026</v>
      </c>
      <c r="C53" s="238">
        <f t="shared" si="25"/>
        <v>22615.896255502004</v>
      </c>
      <c r="D53" s="237">
        <f t="shared" ref="D53:D82" si="26">C53-E53</f>
        <v>21392.376268079344</v>
      </c>
      <c r="E53" s="237">
        <f>C53*Inputs!$B$13</f>
        <v>1223.5199874226585</v>
      </c>
      <c r="F53" s="248">
        <f t="shared" si="24"/>
        <v>1.084695264052854</v>
      </c>
      <c r="G53" s="174"/>
      <c r="H53" s="174"/>
      <c r="I53" s="174"/>
      <c r="K53" s="64"/>
      <c r="L53" s="64"/>
      <c r="M53" s="64"/>
      <c r="N53" s="64"/>
      <c r="O53" s="64"/>
      <c r="P53" s="64"/>
      <c r="Q53" s="64"/>
      <c r="R53" s="64"/>
      <c r="S53" s="666"/>
      <c r="T53" s="144" t="s">
        <v>347</v>
      </c>
      <c r="U53" s="145" t="s">
        <v>348</v>
      </c>
      <c r="V53" s="150" t="s">
        <v>350</v>
      </c>
      <c r="W53" s="151" t="s">
        <v>347</v>
      </c>
      <c r="X53" s="144" t="s">
        <v>347</v>
      </c>
      <c r="Y53" s="152" t="s">
        <v>348</v>
      </c>
      <c r="Z53" s="169" t="s">
        <v>357</v>
      </c>
      <c r="AA53" s="170" t="s">
        <v>357</v>
      </c>
      <c r="AE53"/>
      <c r="AF53"/>
    </row>
    <row r="54" spans="1:92" ht="15" customHeight="1">
      <c r="A54" s="174"/>
      <c r="B54" s="174">
        <v>2027</v>
      </c>
      <c r="C54" s="238">
        <f t="shared" si="25"/>
        <v>22880.092015323738</v>
      </c>
      <c r="D54" s="237">
        <f t="shared" si="26"/>
        <v>21642.279037294724</v>
      </c>
      <c r="E54" s="237">
        <f>C54*Inputs!$B$13</f>
        <v>1237.8129780290144</v>
      </c>
      <c r="F54" s="248">
        <f t="shared" si="24"/>
        <v>1.097366523516726</v>
      </c>
      <c r="G54" s="174"/>
      <c r="H54" s="174"/>
      <c r="I54" s="174"/>
      <c r="K54" s="64"/>
      <c r="L54" s="64"/>
      <c r="M54" s="64"/>
      <c r="N54" s="64"/>
      <c r="O54" s="64"/>
      <c r="P54" s="64"/>
      <c r="Q54" s="64"/>
      <c r="R54" s="64"/>
      <c r="S54" s="155">
        <v>2019</v>
      </c>
      <c r="T54" s="156">
        <f>(($N5/$L5)-($V5/$T5))</f>
        <v>1.6371112215040756E-3</v>
      </c>
      <c r="U54" s="157">
        <f>T54*60</f>
        <v>9.8226673290244537E-2</v>
      </c>
      <c r="V54" s="158">
        <f>Inputs!$B$35</f>
        <v>1.67</v>
      </c>
      <c r="W54" s="159">
        <f>T54*V54</f>
        <v>2.7339757399118063E-3</v>
      </c>
      <c r="X54" s="156">
        <f>(($R5/$P5)-($Z5/$X5))</f>
        <v>9.5721364589286539E-4</v>
      </c>
      <c r="Y54" s="159">
        <f>X54*60</f>
        <v>5.7432818753571924E-2</v>
      </c>
      <c r="Z54" s="167">
        <f>(($M5/$L5)-($U5/$T5))*AVERAGEA($T5,$L5)</f>
        <v>-120.77374390509611</v>
      </c>
      <c r="AA54" s="168">
        <f>(($Q5/$P5)-($Y5/$X5))*AVERAGEA($X5,$P5)</f>
        <v>-6.5493617781587448</v>
      </c>
      <c r="AE54"/>
      <c r="AF54"/>
    </row>
    <row r="55" spans="1:92" ht="15" customHeight="1">
      <c r="A55" s="174"/>
      <c r="B55" s="174">
        <v>2028</v>
      </c>
      <c r="C55" s="238">
        <f t="shared" si="25"/>
        <v>23147.374073327919</v>
      </c>
      <c r="D55" s="237">
        <f t="shared" si="26"/>
        <v>21895.101135960878</v>
      </c>
      <c r="E55" s="237">
        <f>C55*Inputs!$B$13</f>
        <v>1252.2729373670404</v>
      </c>
      <c r="F55" s="248">
        <f t="shared" si="24"/>
        <v>1.1101858068742407</v>
      </c>
      <c r="G55" s="174"/>
      <c r="H55" s="174"/>
      <c r="I55" s="174"/>
      <c r="K55" s="64"/>
      <c r="L55" s="64"/>
      <c r="M55" s="64"/>
      <c r="N55" s="64"/>
      <c r="O55" s="64"/>
      <c r="P55" s="64"/>
      <c r="Q55" s="64"/>
      <c r="R55" s="64"/>
      <c r="S55" s="160">
        <v>2020</v>
      </c>
      <c r="T55" s="161">
        <f t="shared" ref="T55:T95" si="27">(($N6/$L6)-($V6/$T6))</f>
        <v>1.5605441506790496E-3</v>
      </c>
      <c r="U55" s="162">
        <f t="shared" ref="U55:U80" si="28">T55*60</f>
        <v>9.3632649040742977E-2</v>
      </c>
      <c r="V55" s="66">
        <f>Inputs!$B$35</f>
        <v>1.67</v>
      </c>
      <c r="W55" s="163">
        <f t="shared" ref="W55:W80" si="29">T55*V55</f>
        <v>2.6061087316340127E-3</v>
      </c>
      <c r="X55" s="161">
        <f t="shared" ref="X55:X95" si="30">(($R6/$P6)-($Z6/$X6))</f>
        <v>6.3708451051985859E-4</v>
      </c>
      <c r="Y55" s="163">
        <f t="shared" ref="Y55:Y80" si="31">X55*60</f>
        <v>3.8225070631191516E-2</v>
      </c>
      <c r="Z55" s="166">
        <f t="shared" ref="Z55:Z95" si="32">(($M6/$L6)-($U6/$T6))*AVERAGEA($T6,$L6)</f>
        <v>15.226922489348757</v>
      </c>
      <c r="AA55" s="147">
        <f t="shared" ref="AA55:AA95" si="33">(($Q6/$P6)-($Y6/$X6))*AVERAGEA($X6,$P6)</f>
        <v>0.44447028720898674</v>
      </c>
      <c r="AE55"/>
      <c r="AF55"/>
    </row>
    <row r="56" spans="1:92" ht="15" customHeight="1">
      <c r="A56" s="174"/>
      <c r="B56" s="174">
        <v>2029</v>
      </c>
      <c r="C56" s="238">
        <f t="shared" si="25"/>
        <v>23417.77848322138</v>
      </c>
      <c r="D56" s="237">
        <f t="shared" si="26"/>
        <v>22150.876667279103</v>
      </c>
      <c r="E56" s="237">
        <f>C56*Inputs!$B$13</f>
        <v>1266.9018159422767</v>
      </c>
      <c r="F56" s="248">
        <f t="shared" si="24"/>
        <v>1.1231548433199703</v>
      </c>
      <c r="G56" s="174"/>
      <c r="H56" s="174"/>
      <c r="I56" s="174"/>
      <c r="K56" s="64"/>
      <c r="L56" s="64"/>
      <c r="M56" s="64"/>
      <c r="N56" s="64"/>
      <c r="O56" s="64"/>
      <c r="P56" s="64"/>
      <c r="Q56" s="64"/>
      <c r="R56" s="64"/>
      <c r="S56" s="154">
        <f>S55+1</f>
        <v>2021</v>
      </c>
      <c r="T56" s="149">
        <f t="shared" si="27"/>
        <v>1.618172661542655E-3</v>
      </c>
      <c r="U56" s="148">
        <f t="shared" si="28"/>
        <v>9.7090359692559303E-2</v>
      </c>
      <c r="V56" s="65">
        <f>Inputs!$B$35</f>
        <v>1.67</v>
      </c>
      <c r="W56" s="153">
        <f t="shared" si="29"/>
        <v>2.7023483447762339E-3</v>
      </c>
      <c r="X56" s="149">
        <f t="shared" si="30"/>
        <v>6.4267249324542752E-4</v>
      </c>
      <c r="Y56" s="153">
        <f t="shared" si="31"/>
        <v>3.8560349594725651E-2</v>
      </c>
      <c r="Z56" s="166">
        <f t="shared" si="32"/>
        <v>-8.2134339351381662</v>
      </c>
      <c r="AA56" s="147">
        <f t="shared" si="33"/>
        <v>-6.4273301214219103</v>
      </c>
      <c r="AE56"/>
      <c r="AF56"/>
    </row>
    <row r="57" spans="1:92" ht="15" customHeight="1">
      <c r="A57" s="174"/>
      <c r="B57" s="174">
        <v>2030</v>
      </c>
      <c r="C57" s="238">
        <f t="shared" si="25"/>
        <v>23691.341719885349</v>
      </c>
      <c r="D57" s="237">
        <f t="shared" si="26"/>
        <v>22409.640132839551</v>
      </c>
      <c r="E57" s="237">
        <f>C57*Inputs!$B$13</f>
        <v>1281.7015870457974</v>
      </c>
      <c r="F57" s="248">
        <f t="shared" si="24"/>
        <v>1.1362753822486977</v>
      </c>
      <c r="G57" s="174"/>
      <c r="H57" s="174"/>
      <c r="I57" s="174"/>
      <c r="K57" s="64"/>
      <c r="L57" s="64"/>
      <c r="M57" s="64"/>
      <c r="N57" s="64"/>
      <c r="O57" s="64"/>
      <c r="P57" s="64"/>
      <c r="Q57" s="64"/>
      <c r="R57" s="64"/>
      <c r="S57" s="154">
        <f>S56+1</f>
        <v>2022</v>
      </c>
      <c r="T57" s="149">
        <f t="shared" si="27"/>
        <v>1.6745246101495387E-3</v>
      </c>
      <c r="U57" s="148">
        <f t="shared" si="28"/>
        <v>0.10047147660897232</v>
      </c>
      <c r="V57" s="65">
        <f>Inputs!$B$35</f>
        <v>1.67</v>
      </c>
      <c r="W57" s="153">
        <f t="shared" si="29"/>
        <v>2.7964560989497296E-3</v>
      </c>
      <c r="X57" s="149">
        <f t="shared" si="30"/>
        <v>6.4812764921710897E-4</v>
      </c>
      <c r="Y57" s="153">
        <f t="shared" si="31"/>
        <v>3.8887658953026538E-2</v>
      </c>
      <c r="Z57" s="166">
        <f t="shared" si="32"/>
        <v>-31.65183521903041</v>
      </c>
      <c r="AA57" s="147">
        <f t="shared" si="33"/>
        <v>-13.298426810076705</v>
      </c>
      <c r="AE57"/>
      <c r="AF57"/>
    </row>
    <row r="58" spans="1:92" ht="15" customHeight="1">
      <c r="A58" s="174"/>
      <c r="B58" s="174">
        <v>2031</v>
      </c>
      <c r="C58" s="238">
        <f t="shared" si="25"/>
        <v>23968.100684295558</v>
      </c>
      <c r="D58" s="237">
        <f t="shared" si="26"/>
        <v>22671.426437275168</v>
      </c>
      <c r="E58" s="237">
        <f>C58*Inputs!$B$13</f>
        <v>1296.6742470203897</v>
      </c>
      <c r="F58" s="248">
        <f t="shared" si="24"/>
        <v>1.1495491934913937</v>
      </c>
      <c r="G58" s="174"/>
      <c r="H58" s="174"/>
      <c r="I58" s="174"/>
      <c r="S58" s="154">
        <f t="shared" ref="S58:S59" si="34">S57+1</f>
        <v>2023</v>
      </c>
      <c r="T58" s="149">
        <f t="shared" si="27"/>
        <v>1.729641945437177E-3</v>
      </c>
      <c r="U58" s="148">
        <f t="shared" si="28"/>
        <v>0.10377851672623062</v>
      </c>
      <c r="V58" s="65">
        <f>Inputs!$B$35</f>
        <v>1.67</v>
      </c>
      <c r="W58" s="153">
        <f t="shared" si="29"/>
        <v>2.8885020488800856E-3</v>
      </c>
      <c r="X58" s="149">
        <f t="shared" si="30"/>
        <v>6.5345463553695415E-4</v>
      </c>
      <c r="Y58" s="153">
        <f t="shared" si="31"/>
        <v>3.9207278132217249E-2</v>
      </c>
      <c r="Z58" s="166">
        <f t="shared" si="32"/>
        <v>-55.088346316988108</v>
      </c>
      <c r="AA58" s="147">
        <f t="shared" si="33"/>
        <v>-20.168842882457195</v>
      </c>
      <c r="AE58"/>
      <c r="AF58"/>
    </row>
    <row r="59" spans="1:92" ht="15" customHeight="1">
      <c r="A59" s="174"/>
      <c r="B59" s="174">
        <v>2032</v>
      </c>
      <c r="C59" s="238">
        <f t="shared" si="25"/>
        <v>24248.092708499804</v>
      </c>
      <c r="D59" s="237">
        <f t="shared" si="26"/>
        <v>22936.270892969966</v>
      </c>
      <c r="E59" s="237">
        <f>C59*Inputs!$B$13</f>
        <v>1311.8218155298393</v>
      </c>
      <c r="F59" s="248">
        <f t="shared" si="24"/>
        <v>1.1629780675539474</v>
      </c>
      <c r="G59" s="174"/>
      <c r="H59" s="174"/>
      <c r="I59" s="174"/>
      <c r="S59" s="154">
        <f t="shared" si="34"/>
        <v>2024</v>
      </c>
      <c r="T59" s="149">
        <f t="shared" si="27"/>
        <v>1.783564798424675E-3</v>
      </c>
      <c r="U59" s="148">
        <f t="shared" si="28"/>
        <v>0.1070138879054805</v>
      </c>
      <c r="V59" s="65">
        <f>Inputs!$B$35</f>
        <v>1.67</v>
      </c>
      <c r="W59" s="153">
        <f t="shared" si="29"/>
        <v>2.978553213369207E-3</v>
      </c>
      <c r="X59" s="149">
        <f t="shared" si="30"/>
        <v>6.5865789502074501E-4</v>
      </c>
      <c r="Y59" s="153">
        <f t="shared" si="31"/>
        <v>3.9519473701244701E-2</v>
      </c>
      <c r="Z59" s="166">
        <f t="shared" si="32"/>
        <v>-78.523029337925749</v>
      </c>
      <c r="AA59" s="147">
        <f t="shared" si="33"/>
        <v>-27.038600441861504</v>
      </c>
      <c r="AE59"/>
      <c r="AF59"/>
    </row>
    <row r="60" spans="1:92" ht="15" customHeight="1">
      <c r="A60" s="174"/>
      <c r="B60" s="174">
        <v>2033</v>
      </c>
      <c r="C60" s="238">
        <f t="shared" si="25"/>
        <v>24531.35556065369</v>
      </c>
      <c r="D60" s="237">
        <f t="shared" si="26"/>
        <v>23204.209224822327</v>
      </c>
      <c r="E60" s="237">
        <f>C60*Inputs!$B$13</f>
        <v>1327.1463358313647</v>
      </c>
      <c r="F60" s="248">
        <f t="shared" si="24"/>
        <v>1.1765638158586902</v>
      </c>
      <c r="G60" s="174"/>
      <c r="H60" s="174"/>
      <c r="I60" s="174"/>
      <c r="S60" s="160">
        <v>2025</v>
      </c>
      <c r="T60" s="161">
        <f t="shared" si="27"/>
        <v>1.8363315796276203E-3</v>
      </c>
      <c r="U60" s="162">
        <f t="shared" si="28"/>
        <v>0.11017989477765722</v>
      </c>
      <c r="V60" s="66">
        <f>Inputs!$B$35</f>
        <v>1.67</v>
      </c>
      <c r="W60" s="163">
        <f t="shared" si="29"/>
        <v>3.0666737379781259E-3</v>
      </c>
      <c r="X60" s="161">
        <f t="shared" si="30"/>
        <v>6.6374166833800541E-4</v>
      </c>
      <c r="Y60" s="163">
        <f t="shared" si="31"/>
        <v>3.9824500100280324E-2</v>
      </c>
      <c r="Z60" s="166">
        <f t="shared" si="32"/>
        <v>-101.95594369910569</v>
      </c>
      <c r="AA60" s="147">
        <f t="shared" si="33"/>
        <v>-33.907720644741708</v>
      </c>
      <c r="AE60"/>
      <c r="AF60"/>
    </row>
    <row r="61" spans="1:92" ht="15" customHeight="1">
      <c r="A61" s="174"/>
      <c r="B61" s="174">
        <v>2034</v>
      </c>
      <c r="C61" s="238">
        <f t="shared" si="25"/>
        <v>24817.92745011517</v>
      </c>
      <c r="D61" s="237">
        <f t="shared" si="26"/>
        <v>23475.277575063941</v>
      </c>
      <c r="E61" s="237">
        <f>C61*Inputs!$B$13</f>
        <v>1342.6498750512308</v>
      </c>
      <c r="F61" s="248">
        <f t="shared" si="24"/>
        <v>1.1903082709887371</v>
      </c>
      <c r="G61" s="174"/>
      <c r="H61" s="174"/>
      <c r="I61" s="174"/>
      <c r="S61" s="154">
        <f>S60+1</f>
        <v>2026</v>
      </c>
      <c r="T61" s="149">
        <f t="shared" si="27"/>
        <v>1.880766222454075E-3</v>
      </c>
      <c r="U61" s="148">
        <f t="shared" si="28"/>
        <v>0.1128459733472445</v>
      </c>
      <c r="V61" s="65">
        <f>Inputs!$B$35</f>
        <v>1.67</v>
      </c>
      <c r="W61" s="153">
        <f t="shared" si="29"/>
        <v>3.1408795914983053E-3</v>
      </c>
      <c r="X61" s="149">
        <f t="shared" si="30"/>
        <v>8.27851911389621E-4</v>
      </c>
      <c r="Y61" s="153">
        <f t="shared" si="31"/>
        <v>4.967111468337726E-2</v>
      </c>
      <c r="Z61" s="166">
        <f t="shared" si="32"/>
        <v>-82.087241700126086</v>
      </c>
      <c r="AA61" s="147">
        <f t="shared" si="33"/>
        <v>-26.017442803351706</v>
      </c>
      <c r="AE61"/>
      <c r="AF61"/>
    </row>
    <row r="62" spans="1:92" ht="15" customHeight="1">
      <c r="A62" s="174"/>
      <c r="B62" s="174">
        <v>2035</v>
      </c>
      <c r="C62" s="238">
        <f t="shared" si="25"/>
        <v>25107.847032598605</v>
      </c>
      <c r="D62" s="237">
        <f t="shared" si="26"/>
        <v>23749.51250813502</v>
      </c>
      <c r="E62" s="237">
        <f>C62*Inputs!$B$13</f>
        <v>1358.3345244635846</v>
      </c>
      <c r="F62" s="248">
        <f t="shared" si="24"/>
        <v>1.2042132869351849</v>
      </c>
      <c r="G62" s="174"/>
      <c r="H62" s="174"/>
      <c r="I62" s="174"/>
      <c r="S62" s="154">
        <f>S61+1</f>
        <v>2027</v>
      </c>
      <c r="T62" s="149">
        <f t="shared" si="27"/>
        <v>1.9241967242331626E-3</v>
      </c>
      <c r="U62" s="148">
        <f t="shared" si="28"/>
        <v>0.11545180345398975</v>
      </c>
      <c r="V62" s="65">
        <f>Inputs!$B$35</f>
        <v>1.67</v>
      </c>
      <c r="W62" s="153">
        <f t="shared" si="29"/>
        <v>3.2134085294693812E-3</v>
      </c>
      <c r="X62" s="149">
        <f t="shared" si="30"/>
        <v>9.8817251089527991E-4</v>
      </c>
      <c r="Y62" s="153">
        <f t="shared" si="31"/>
        <v>5.9290350653716795E-2</v>
      </c>
      <c r="Z62" s="166">
        <f t="shared" si="32"/>
        <v>-62.218098259697953</v>
      </c>
      <c r="AA62" s="147">
        <f t="shared" si="33"/>
        <v>-18.131691724666371</v>
      </c>
      <c r="AE62"/>
      <c r="AF62"/>
    </row>
    <row r="63" spans="1:92">
      <c r="A63" s="239"/>
      <c r="B63" s="174">
        <v>2036</v>
      </c>
      <c r="C63" s="238">
        <f t="shared" si="25"/>
        <v>25401.15341538905</v>
      </c>
      <c r="D63" s="237">
        <f t="shared" si="26"/>
        <v>24026.951015616502</v>
      </c>
      <c r="E63" s="237">
        <f>C63*Inputs!$B$13</f>
        <v>1374.2023997725476</v>
      </c>
      <c r="F63" s="248">
        <f t="shared" si="24"/>
        <v>1.2182807393471966</v>
      </c>
      <c r="G63" s="174"/>
      <c r="H63" s="174"/>
      <c r="I63" s="174"/>
      <c r="K63" s="64"/>
      <c r="L63" s="64"/>
      <c r="M63" s="64"/>
      <c r="N63" s="64"/>
      <c r="O63" s="64"/>
      <c r="P63" s="64"/>
      <c r="Q63" s="64"/>
      <c r="R63" s="64"/>
      <c r="S63" s="154">
        <f t="shared" ref="S63:S64" si="35">S62+1</f>
        <v>2028</v>
      </c>
      <c r="T63" s="149">
        <f t="shared" si="27"/>
        <v>1.966656741177561E-3</v>
      </c>
      <c r="U63" s="148">
        <f t="shared" si="28"/>
        <v>0.11799940447065366</v>
      </c>
      <c r="V63" s="65">
        <f>Inputs!$B$35</f>
        <v>1.67</v>
      </c>
      <c r="W63" s="153">
        <f t="shared" si="29"/>
        <v>3.2843167577665268E-3</v>
      </c>
      <c r="X63" s="149">
        <f t="shared" si="30"/>
        <v>1.1448328408309311E-3</v>
      </c>
      <c r="Y63" s="153">
        <f t="shared" si="31"/>
        <v>6.8689970449855864E-2</v>
      </c>
      <c r="Z63" s="166">
        <f t="shared" si="32"/>
        <v>-42.348528062412228</v>
      </c>
      <c r="AA63" s="147">
        <f t="shared" si="33"/>
        <v>-10.250303697760195</v>
      </c>
      <c r="AE63"/>
      <c r="AF63"/>
    </row>
    <row r="64" spans="1:92">
      <c r="A64" s="174"/>
      <c r="B64" s="174">
        <v>2037</v>
      </c>
      <c r="C64" s="238">
        <f t="shared" si="25"/>
        <v>25697.886162617429</v>
      </c>
      <c r="D64" s="237">
        <f t="shared" si="26"/>
        <v>24307.630521219828</v>
      </c>
      <c r="E64" s="237">
        <f>C64*Inputs!$B$13</f>
        <v>1390.2556413976031</v>
      </c>
      <c r="F64" s="248">
        <f t="shared" si="24"/>
        <v>1.2325125257850087</v>
      </c>
      <c r="G64" s="174"/>
      <c r="H64" s="174"/>
      <c r="I64" s="174"/>
      <c r="K64" s="64"/>
      <c r="L64" s="64"/>
      <c r="M64" s="64"/>
      <c r="N64" s="64"/>
      <c r="O64" s="64"/>
      <c r="P64" s="64"/>
      <c r="Q64" s="64"/>
      <c r="R64" s="64"/>
      <c r="S64" s="154">
        <f t="shared" si="35"/>
        <v>2029</v>
      </c>
      <c r="T64" s="149">
        <f t="shared" si="27"/>
        <v>2.0081784420732385E-3</v>
      </c>
      <c r="U64" s="148">
        <f t="shared" si="28"/>
        <v>0.12049070652439431</v>
      </c>
      <c r="V64" s="65">
        <f>Inputs!$B$35</f>
        <v>1.67</v>
      </c>
      <c r="W64" s="153">
        <f t="shared" si="29"/>
        <v>3.3536579982623082E-3</v>
      </c>
      <c r="X64" s="149">
        <f t="shared" si="30"/>
        <v>1.2979564672572774E-3</v>
      </c>
      <c r="Y64" s="153">
        <f t="shared" si="31"/>
        <v>7.7877388035436645E-2</v>
      </c>
      <c r="Z64" s="166">
        <f t="shared" si="32"/>
        <v>-22.47854514883446</v>
      </c>
      <c r="AA64" s="147">
        <f t="shared" si="33"/>
        <v>-2.3731227091195839</v>
      </c>
      <c r="AE64"/>
      <c r="AF64"/>
    </row>
    <row r="65" spans="1:35">
      <c r="A65" s="174"/>
      <c r="B65" s="174">
        <v>2038</v>
      </c>
      <c r="C65" s="238">
        <f t="shared" si="25"/>
        <v>25998.085300597355</v>
      </c>
      <c r="D65" s="237">
        <f t="shared" si="26"/>
        <v>24591.588885835037</v>
      </c>
      <c r="E65" s="237">
        <f>C65*Inputs!$B$13</f>
        <v>1406.496414762317</v>
      </c>
      <c r="F65" s="248">
        <f t="shared" si="24"/>
        <v>1.2469105659758923</v>
      </c>
      <c r="G65" s="174"/>
      <c r="H65" s="174"/>
      <c r="I65" s="174"/>
      <c r="K65" s="64"/>
      <c r="L65" s="64"/>
      <c r="M65" s="64"/>
      <c r="N65" s="64"/>
      <c r="O65" s="64"/>
      <c r="P65" s="64"/>
      <c r="Q65" s="64"/>
      <c r="R65" s="64"/>
      <c r="S65" s="160">
        <v>2030</v>
      </c>
      <c r="T65" s="161">
        <f t="shared" si="27"/>
        <v>2.0487925895495279E-3</v>
      </c>
      <c r="U65" s="162">
        <f t="shared" si="28"/>
        <v>0.12292755537297168</v>
      </c>
      <c r="V65" s="66">
        <f>Inputs!$B$35</f>
        <v>1.67</v>
      </c>
      <c r="W65" s="163">
        <f t="shared" si="29"/>
        <v>3.4214836245477116E-3</v>
      </c>
      <c r="X65" s="161">
        <f t="shared" si="30"/>
        <v>1.4476614699331786E-3</v>
      </c>
      <c r="Y65" s="163">
        <f t="shared" si="31"/>
        <v>8.6859688195990714E-2</v>
      </c>
      <c r="Z65" s="166">
        <f t="shared" si="32"/>
        <v>-2.6081629501717885</v>
      </c>
      <c r="AA65" s="147">
        <f t="shared" si="33"/>
        <v>5.4999999999991047</v>
      </c>
      <c r="AE65"/>
      <c r="AF65"/>
    </row>
    <row r="66" spans="1:35">
      <c r="A66" s="174"/>
      <c r="B66" s="174">
        <v>2039</v>
      </c>
      <c r="C66" s="238">
        <f t="shared" si="25"/>
        <v>26301.791323224275</v>
      </c>
      <c r="D66" s="237">
        <f t="shared" si="26"/>
        <v>24878.864412637842</v>
      </c>
      <c r="E66" s="237">
        <f>C66*Inputs!$B$13</f>
        <v>1422.9269105864335</v>
      </c>
      <c r="F66" s="248">
        <f t="shared" si="24"/>
        <v>1.2614768020731066</v>
      </c>
      <c r="G66" s="174"/>
      <c r="H66" s="174"/>
      <c r="I66" s="174"/>
      <c r="K66" s="64"/>
      <c r="L66" s="64"/>
      <c r="M66" s="64"/>
      <c r="N66" s="64"/>
      <c r="O66" s="64"/>
      <c r="P66" s="64"/>
      <c r="Q66" s="64"/>
      <c r="R66" s="64"/>
      <c r="S66" s="154">
        <f>S65+1</f>
        <v>2031</v>
      </c>
      <c r="T66" s="149">
        <f t="shared" si="27"/>
        <v>2.1366303301317696E-3</v>
      </c>
      <c r="U66" s="148">
        <f t="shared" si="28"/>
        <v>0.12819781980790618</v>
      </c>
      <c r="V66" s="65">
        <f>Inputs!$B$35</f>
        <v>1.67</v>
      </c>
      <c r="W66" s="153">
        <f t="shared" si="29"/>
        <v>3.5681726513200553E-3</v>
      </c>
      <c r="X66" s="149">
        <f t="shared" si="30"/>
        <v>1.2983625181224312E-3</v>
      </c>
      <c r="Y66" s="153">
        <f t="shared" si="31"/>
        <v>7.7901751087345872E-2</v>
      </c>
      <c r="Z66" s="166">
        <f t="shared" si="32"/>
        <v>-3.0141921953110624</v>
      </c>
      <c r="AA66" s="147">
        <f t="shared" si="33"/>
        <v>-3.4899982188677292E-2</v>
      </c>
      <c r="AE66"/>
      <c r="AF66"/>
    </row>
    <row r="67" spans="1:35">
      <c r="A67" s="174"/>
      <c r="B67" s="174">
        <v>2040</v>
      </c>
      <c r="C67" s="238">
        <f t="shared" si="25"/>
        <v>26609.045197437699</v>
      </c>
      <c r="D67" s="237">
        <f t="shared" si="26"/>
        <v>25169.495852256321</v>
      </c>
      <c r="E67" s="237">
        <f>C67*Inputs!$B$13</f>
        <v>1439.5493451813795</v>
      </c>
      <c r="F67" s="248">
        <f t="shared" si="24"/>
        <v>1.2762131989178753</v>
      </c>
      <c r="G67" s="174"/>
      <c r="H67" s="174"/>
      <c r="I67" s="174"/>
      <c r="K67" s="64"/>
      <c r="L67" s="64"/>
      <c r="M67" s="64"/>
      <c r="N67" s="64"/>
      <c r="O67" s="64"/>
      <c r="P67" s="64"/>
      <c r="Q67" s="64"/>
      <c r="R67" s="64"/>
      <c r="S67" s="154">
        <f>S66+1</f>
        <v>2032</v>
      </c>
      <c r="T67" s="149">
        <f t="shared" si="27"/>
        <v>2.2218039432093661E-3</v>
      </c>
      <c r="U67" s="148">
        <f t="shared" si="28"/>
        <v>0.13330823659256197</v>
      </c>
      <c r="V67" s="65">
        <f>Inputs!$B$35</f>
        <v>1.67</v>
      </c>
      <c r="W67" s="153">
        <f t="shared" si="29"/>
        <v>3.7104125851596414E-3</v>
      </c>
      <c r="X67" s="149">
        <f t="shared" si="30"/>
        <v>1.1483124053480454E-3</v>
      </c>
      <c r="Y67" s="153">
        <f t="shared" si="31"/>
        <v>6.8898744320882721E-2</v>
      </c>
      <c r="Z67" s="166">
        <f t="shared" si="32"/>
        <v>-3.507199100697052</v>
      </c>
      <c r="AA67" s="147">
        <f t="shared" si="33"/>
        <v>-5.7879363011441018</v>
      </c>
      <c r="AE67"/>
      <c r="AF67"/>
    </row>
    <row r="68" spans="1:35">
      <c r="A68" s="174"/>
      <c r="B68" s="174">
        <v>2041</v>
      </c>
      <c r="C68" s="238">
        <f t="shared" si="25"/>
        <v>26919.888368747244</v>
      </c>
      <c r="D68" s="237">
        <f t="shared" si="26"/>
        <v>25463.522407998018</v>
      </c>
      <c r="E68" s="237">
        <f>C68*Inputs!$B$13</f>
        <v>1456.3659607492259</v>
      </c>
      <c r="F68" s="248">
        <f t="shared" si="24"/>
        <v>1.2911217443044243</v>
      </c>
      <c r="G68" s="174"/>
      <c r="H68" s="174"/>
      <c r="I68" s="174"/>
      <c r="K68" s="64"/>
      <c r="L68" s="64"/>
      <c r="M68" s="64"/>
      <c r="N68" s="64"/>
      <c r="O68" s="64"/>
      <c r="P68" s="64"/>
      <c r="Q68" s="64"/>
      <c r="R68" s="64"/>
      <c r="S68" s="154">
        <f t="shared" ref="S68:S69" si="36">S67+1</f>
        <v>2033</v>
      </c>
      <c r="T68" s="149">
        <f t="shared" si="27"/>
        <v>2.3044326675107502E-3</v>
      </c>
      <c r="U68" s="148">
        <f t="shared" si="28"/>
        <v>0.13826596005064501</v>
      </c>
      <c r="V68" s="65">
        <f>Inputs!$B$35</f>
        <v>1.67</v>
      </c>
      <c r="W68" s="153">
        <f t="shared" si="29"/>
        <v>3.8484025547429524E-3</v>
      </c>
      <c r="X68" s="149">
        <f t="shared" si="30"/>
        <v>9.9759122140984091E-4</v>
      </c>
      <c r="Y68" s="153">
        <f t="shared" si="31"/>
        <v>5.9855473284590455E-2</v>
      </c>
      <c r="Z68" s="166">
        <f t="shared" si="32"/>
        <v>-4.0834278175839227</v>
      </c>
      <c r="AA68" s="147">
        <f t="shared" si="33"/>
        <v>-11.754348634590915</v>
      </c>
      <c r="AE68"/>
      <c r="AF68"/>
    </row>
    <row r="69" spans="1:35">
      <c r="A69" s="174"/>
      <c r="B69" s="174">
        <v>2042</v>
      </c>
      <c r="C69" s="238">
        <f t="shared" si="25"/>
        <v>27234.362766823207</v>
      </c>
      <c r="D69" s="237">
        <f t="shared" si="26"/>
        <v>25760.983741138072</v>
      </c>
      <c r="E69" s="237">
        <f>C69*Inputs!$B$13</f>
        <v>1473.3790256851355</v>
      </c>
      <c r="F69" s="248">
        <f t="shared" si="24"/>
        <v>1.3062044492481155</v>
      </c>
      <c r="G69" s="174"/>
      <c r="H69" s="174"/>
      <c r="I69" s="174"/>
      <c r="S69" s="154">
        <f t="shared" si="36"/>
        <v>2034</v>
      </c>
      <c r="T69" s="149">
        <f t="shared" si="27"/>
        <v>2.3846287389128612E-3</v>
      </c>
      <c r="U69" s="148">
        <f t="shared" si="28"/>
        <v>0.14307772433477167</v>
      </c>
      <c r="V69" s="65">
        <f>Inputs!$B$35</f>
        <v>1.67</v>
      </c>
      <c r="W69" s="153">
        <f t="shared" si="29"/>
        <v>3.9823299939844778E-3</v>
      </c>
      <c r="X69" s="149">
        <f t="shared" si="30"/>
        <v>8.4627490127789362E-4</v>
      </c>
      <c r="Y69" s="153">
        <f t="shared" si="31"/>
        <v>5.0776494076673617E-2</v>
      </c>
      <c r="Z69" s="166">
        <f t="shared" si="32"/>
        <v>-4.739335680144678</v>
      </c>
      <c r="AA69" s="147">
        <f t="shared" si="33"/>
        <v>-17.929515215963356</v>
      </c>
      <c r="AE69"/>
      <c r="AF69"/>
    </row>
    <row r="70" spans="1:35">
      <c r="A70" s="174"/>
      <c r="B70" s="174">
        <v>2043</v>
      </c>
      <c r="C70" s="238">
        <f t="shared" si="25"/>
        <v>27552.510811152475</v>
      </c>
      <c r="D70" s="237">
        <f t="shared" si="26"/>
        <v>26061.919976269128</v>
      </c>
      <c r="E70" s="237">
        <f>C70*Inputs!$B$13</f>
        <v>1490.5908348833489</v>
      </c>
      <c r="F70" s="248">
        <f t="shared" si="24"/>
        <v>1.3214633482567135</v>
      </c>
      <c r="G70" s="174"/>
      <c r="H70" s="174"/>
      <c r="I70" s="174"/>
      <c r="S70" s="160">
        <v>2035</v>
      </c>
      <c r="T70" s="161">
        <f t="shared" si="27"/>
        <v>2.4624978965539085E-3</v>
      </c>
      <c r="U70" s="162">
        <f t="shared" si="28"/>
        <v>0.14774987379323451</v>
      </c>
      <c r="V70" s="66">
        <f>Inputs!$B$35</f>
        <v>1.67</v>
      </c>
      <c r="W70" s="163">
        <f t="shared" si="29"/>
        <v>4.1123714872450274E-3</v>
      </c>
      <c r="X70" s="161">
        <f t="shared" si="30"/>
        <v>6.9443544058273021E-4</v>
      </c>
      <c r="Y70" s="163">
        <f t="shared" si="31"/>
        <v>4.1666126434963813E-2</v>
      </c>
      <c r="Z70" s="166">
        <f t="shared" si="32"/>
        <v>-5.4715782913837181</v>
      </c>
      <c r="AA70" s="147">
        <f t="shared" si="33"/>
        <v>-24.308947792873855</v>
      </c>
      <c r="AE70"/>
      <c r="AF70"/>
    </row>
    <row r="71" spans="1:35">
      <c r="A71" s="174"/>
      <c r="B71" s="174">
        <v>2044</v>
      </c>
      <c r="C71" s="238">
        <f t="shared" si="25"/>
        <v>27874.375416760489</v>
      </c>
      <c r="D71" s="237">
        <f t="shared" si="26"/>
        <v>26366.371706713748</v>
      </c>
      <c r="E71" s="237">
        <f>C71*Inputs!$B$13</f>
        <v>1508.0037100467425</v>
      </c>
      <c r="F71" s="248">
        <f t="shared" si="24"/>
        <v>1.3369004996048197</v>
      </c>
      <c r="G71" s="174"/>
      <c r="H71" s="174"/>
      <c r="I71" s="174"/>
      <c r="S71" s="154">
        <f>S70+1</f>
        <v>2036</v>
      </c>
      <c r="T71" s="149">
        <f t="shared" si="27"/>
        <v>2.5668429909861401E-3</v>
      </c>
      <c r="U71" s="148">
        <f t="shared" si="28"/>
        <v>0.15401057945916841</v>
      </c>
      <c r="V71" s="65">
        <f>Inputs!$B$35</f>
        <v>1.67</v>
      </c>
      <c r="W71" s="153">
        <f t="shared" si="29"/>
        <v>4.2866277949468535E-3</v>
      </c>
      <c r="X71" s="149">
        <f t="shared" si="30"/>
        <v>1.0928837727943314E-3</v>
      </c>
      <c r="Y71" s="153">
        <f t="shared" si="31"/>
        <v>6.5573026367659881E-2</v>
      </c>
      <c r="Z71" s="166">
        <f t="shared" si="32"/>
        <v>-6.0511665971043227</v>
      </c>
      <c r="AA71" s="147">
        <f t="shared" si="33"/>
        <v>-13.46288387698042</v>
      </c>
      <c r="AE71"/>
      <c r="AF71"/>
    </row>
    <row r="72" spans="1:35">
      <c r="A72" s="174"/>
      <c r="B72" s="206">
        <v>2045</v>
      </c>
      <c r="C72" s="236">
        <f>C71*(1+$C$39)</f>
        <v>28200.000000000062</v>
      </c>
      <c r="D72" s="237">
        <f t="shared" si="26"/>
        <v>26674.380000000059</v>
      </c>
      <c r="E72" s="237">
        <f>C72*Inputs!$B$13</f>
        <v>1525.6200000000033</v>
      </c>
      <c r="F72" s="248">
        <f t="shared" si="24"/>
        <v>1.3525179856115137</v>
      </c>
      <c r="G72" s="174"/>
      <c r="H72" s="174"/>
      <c r="I72" s="174"/>
      <c r="S72" s="154">
        <f>S71+1</f>
        <v>2037</v>
      </c>
      <c r="T72" s="149">
        <f t="shared" si="27"/>
        <v>2.6688326666371026E-3</v>
      </c>
      <c r="U72" s="148">
        <f t="shared" si="28"/>
        <v>0.16012995999822616</v>
      </c>
      <c r="V72" s="65">
        <f>Inputs!$B$35</f>
        <v>1.67</v>
      </c>
      <c r="W72" s="153">
        <f t="shared" si="29"/>
        <v>4.4569505532839615E-3</v>
      </c>
      <c r="X72" s="149">
        <f t="shared" si="30"/>
        <v>1.4826139532655991E-3</v>
      </c>
      <c r="Y72" s="153">
        <f t="shared" si="31"/>
        <v>8.8956837195935945E-2</v>
      </c>
      <c r="Z72" s="166">
        <f t="shared" si="32"/>
        <v>-6.6305493259065829</v>
      </c>
      <c r="AA72" s="147">
        <f t="shared" si="33"/>
        <v>-2.6330915179825976</v>
      </c>
      <c r="AE72"/>
      <c r="AF72"/>
    </row>
    <row r="73" spans="1:35">
      <c r="A73" s="239"/>
      <c r="B73" s="174">
        <v>2046</v>
      </c>
      <c r="C73" s="238">
        <f>E38</f>
        <v>28200</v>
      </c>
      <c r="D73" s="237">
        <f t="shared" si="26"/>
        <v>26674.38</v>
      </c>
      <c r="E73" s="237">
        <f>C73*Inputs!$B$13</f>
        <v>1525.6200000000001</v>
      </c>
      <c r="F73" s="248">
        <f t="shared" si="24"/>
        <v>1.3525179856115108</v>
      </c>
      <c r="G73" s="174"/>
      <c r="H73" s="174"/>
      <c r="I73" s="174"/>
      <c r="S73" s="154">
        <f t="shared" ref="S73:S74" si="37">S72+1</f>
        <v>2038</v>
      </c>
      <c r="T73" s="149">
        <f t="shared" si="27"/>
        <v>2.7685457868078939E-3</v>
      </c>
      <c r="U73" s="148">
        <f t="shared" si="28"/>
        <v>0.16611274720847363</v>
      </c>
      <c r="V73" s="65">
        <f>Inputs!$B$35</f>
        <v>1.67</v>
      </c>
      <c r="W73" s="153">
        <f t="shared" si="29"/>
        <v>4.6234714639691822E-3</v>
      </c>
      <c r="X73" s="149">
        <f t="shared" si="30"/>
        <v>1.8639102467825769E-3</v>
      </c>
      <c r="Y73" s="153">
        <f t="shared" si="31"/>
        <v>0.11183461480695461</v>
      </c>
      <c r="Z73" s="166">
        <f t="shared" si="32"/>
        <v>-7.2097333340418253</v>
      </c>
      <c r="AA73" s="147">
        <f t="shared" si="33"/>
        <v>8.1810166276665885</v>
      </c>
      <c r="AE73"/>
      <c r="AF73"/>
    </row>
    <row r="74" spans="1:35">
      <c r="A74" s="174"/>
      <c r="B74" s="174">
        <v>2047</v>
      </c>
      <c r="C74" s="238">
        <f>$C$73</f>
        <v>28200</v>
      </c>
      <c r="D74" s="237">
        <f t="shared" si="26"/>
        <v>26674.38</v>
      </c>
      <c r="E74" s="237">
        <f>C74*Inputs!$B$13</f>
        <v>1525.6200000000001</v>
      </c>
      <c r="F74" s="248">
        <f t="shared" si="24"/>
        <v>1.3525179856115108</v>
      </c>
      <c r="G74" s="174"/>
      <c r="H74" s="174"/>
      <c r="I74" s="174"/>
      <c r="S74" s="154">
        <f t="shared" si="37"/>
        <v>2039</v>
      </c>
      <c r="T74" s="149">
        <f t="shared" si="27"/>
        <v>2.8660577330757858E-3</v>
      </c>
      <c r="U74" s="148">
        <f t="shared" si="28"/>
        <v>0.17196346398454715</v>
      </c>
      <c r="V74" s="65">
        <f>Inputs!$B$35</f>
        <v>1.67</v>
      </c>
      <c r="W74" s="153">
        <f t="shared" si="29"/>
        <v>4.7863164142365622E-3</v>
      </c>
      <c r="X74" s="149">
        <f t="shared" si="30"/>
        <v>2.2370446382760367E-3</v>
      </c>
      <c r="Y74" s="153">
        <f t="shared" si="31"/>
        <v>0.1342226782965622</v>
      </c>
      <c r="Z74" s="166">
        <f t="shared" si="32"/>
        <v>-7.7887251762055403</v>
      </c>
      <c r="AA74" s="147">
        <f t="shared" si="33"/>
        <v>18.980000000000135</v>
      </c>
      <c r="AB74" s="64"/>
      <c r="AC74" s="64"/>
      <c r="AD74" s="64"/>
      <c r="AG74" s="64"/>
      <c r="AH74" s="64"/>
      <c r="AI74" s="64"/>
    </row>
    <row r="75" spans="1:35">
      <c r="A75" s="174"/>
      <c r="B75" s="174">
        <v>2048</v>
      </c>
      <c r="C75" s="238">
        <f t="shared" ref="C75:C87" si="38">$C$73</f>
        <v>28200</v>
      </c>
      <c r="D75" s="237">
        <f t="shared" si="26"/>
        <v>26674.38</v>
      </c>
      <c r="E75" s="237">
        <f>C75*Inputs!$B$13</f>
        <v>1525.6200000000001</v>
      </c>
      <c r="F75" s="248">
        <f t="shared" si="24"/>
        <v>1.3525179856115108</v>
      </c>
      <c r="G75" s="174"/>
      <c r="H75" s="174"/>
      <c r="I75" s="174"/>
      <c r="S75" s="160">
        <v>2040</v>
      </c>
      <c r="T75" s="161">
        <f t="shared" si="27"/>
        <v>2.9614405953366368E-3</v>
      </c>
      <c r="U75" s="162">
        <f t="shared" si="28"/>
        <v>0.17768643572019821</v>
      </c>
      <c r="V75" s="66">
        <f>Inputs!$B$35</f>
        <v>1.67</v>
      </c>
      <c r="W75" s="163">
        <f t="shared" si="29"/>
        <v>4.9456057942121835E-3</v>
      </c>
      <c r="X75" s="161">
        <f t="shared" si="30"/>
        <v>2.6022774917921487E-3</v>
      </c>
      <c r="Y75" s="163">
        <f t="shared" si="31"/>
        <v>0.15613664950752892</v>
      </c>
      <c r="Z75" s="166">
        <f t="shared" si="32"/>
        <v>-8.3675311219630579</v>
      </c>
      <c r="AA75" s="147">
        <f t="shared" si="33"/>
        <v>29.764391771753125</v>
      </c>
      <c r="AB75" s="64"/>
      <c r="AC75" s="64"/>
      <c r="AD75" s="64"/>
      <c r="AG75" s="64"/>
      <c r="AH75" s="64"/>
      <c r="AI75" s="64"/>
    </row>
    <row r="76" spans="1:35">
      <c r="A76" s="174"/>
      <c r="B76" s="174">
        <v>2049</v>
      </c>
      <c r="C76" s="238">
        <f t="shared" si="38"/>
        <v>28200</v>
      </c>
      <c r="D76" s="237">
        <f t="shared" si="26"/>
        <v>26674.38</v>
      </c>
      <c r="E76" s="237">
        <f>C76*Inputs!$B$13</f>
        <v>1525.6200000000001</v>
      </c>
      <c r="F76" s="248">
        <f t="shared" si="24"/>
        <v>1.3525179856115108</v>
      </c>
      <c r="G76" s="174"/>
      <c r="H76" s="174"/>
      <c r="I76" s="174"/>
      <c r="S76" s="154">
        <f>S75+1</f>
        <v>2041</v>
      </c>
      <c r="T76" s="149">
        <f t="shared" si="27"/>
        <v>3.1156681243283135E-3</v>
      </c>
      <c r="U76" s="148">
        <f t="shared" si="28"/>
        <v>0.18694008745969881</v>
      </c>
      <c r="V76" s="65">
        <f>Inputs!$B$35</f>
        <v>1.67</v>
      </c>
      <c r="W76" s="153">
        <f t="shared" si="29"/>
        <v>5.203165767628283E-3</v>
      </c>
      <c r="X76" s="149">
        <f>(($R27/$P27)-($Z27/$X27))</f>
        <v>2.7274776546549473E-3</v>
      </c>
      <c r="Y76" s="153">
        <f t="shared" si="31"/>
        <v>0.16364865927929684</v>
      </c>
      <c r="Z76" s="166">
        <f t="shared" si="32"/>
        <v>-13.251610103981994</v>
      </c>
      <c r="AA76" s="147">
        <f t="shared" si="33"/>
        <v>32.95391567405408</v>
      </c>
      <c r="AB76" s="64"/>
      <c r="AC76" s="64"/>
      <c r="AD76" s="64"/>
      <c r="AG76" s="64"/>
      <c r="AH76" s="64"/>
      <c r="AI76" s="64"/>
    </row>
    <row r="77" spans="1:35">
      <c r="A77" s="174"/>
      <c r="B77" s="174">
        <v>2050</v>
      </c>
      <c r="C77" s="238">
        <f t="shared" si="38"/>
        <v>28200</v>
      </c>
      <c r="D77" s="237">
        <f t="shared" si="26"/>
        <v>26674.38</v>
      </c>
      <c r="E77" s="237">
        <f>C77*Inputs!$B$13</f>
        <v>1525.6200000000001</v>
      </c>
      <c r="F77" s="248">
        <f t="shared" si="24"/>
        <v>1.3525179856115108</v>
      </c>
      <c r="G77" s="174"/>
      <c r="H77" s="174"/>
      <c r="I77" s="174"/>
      <c r="S77" s="154">
        <f>S76+1</f>
        <v>2042</v>
      </c>
      <c r="T77" s="149">
        <f t="shared" si="27"/>
        <v>3.2663205874779166E-3</v>
      </c>
      <c r="U77" s="148">
        <f t="shared" si="28"/>
        <v>0.195979235248675</v>
      </c>
      <c r="V77" s="65">
        <f>Inputs!$B$35</f>
        <v>1.67</v>
      </c>
      <c r="W77" s="153">
        <f t="shared" si="29"/>
        <v>5.4547553810881206E-3</v>
      </c>
      <c r="X77" s="149">
        <f t="shared" si="30"/>
        <v>2.8500901493549585E-3</v>
      </c>
      <c r="Y77" s="153">
        <f t="shared" si="31"/>
        <v>0.17100540896129751</v>
      </c>
      <c r="Z77" s="166">
        <f t="shared" si="32"/>
        <v>-18.134985621541478</v>
      </c>
      <c r="AA77" s="147">
        <f t="shared" si="33"/>
        <v>36.142407351559029</v>
      </c>
      <c r="AB77" s="64"/>
      <c r="AC77" s="64"/>
      <c r="AD77" s="64"/>
      <c r="AG77" s="64"/>
      <c r="AH77" s="64"/>
      <c r="AI77" s="64"/>
    </row>
    <row r="78" spans="1:35">
      <c r="A78" s="174"/>
      <c r="B78" s="174">
        <v>2051</v>
      </c>
      <c r="C78" s="238">
        <f t="shared" si="38"/>
        <v>28200</v>
      </c>
      <c r="D78" s="237">
        <f t="shared" si="26"/>
        <v>26674.38</v>
      </c>
      <c r="E78" s="237">
        <f>C78*Inputs!$B$13</f>
        <v>1525.6200000000001</v>
      </c>
      <c r="F78" s="248">
        <f t="shared" si="24"/>
        <v>1.3525179856115108</v>
      </c>
      <c r="G78" s="174"/>
      <c r="H78" s="174"/>
      <c r="I78" s="174"/>
      <c r="S78" s="154">
        <f t="shared" ref="S78:S79" si="39">S77+1</f>
        <v>2043</v>
      </c>
      <c r="T78" s="149">
        <f t="shared" si="27"/>
        <v>3.4135208561184294E-3</v>
      </c>
      <c r="U78" s="148">
        <f t="shared" si="28"/>
        <v>0.20481125136710576</v>
      </c>
      <c r="V78" s="65">
        <f>Inputs!$B$35</f>
        <v>1.67</v>
      </c>
      <c r="W78" s="153">
        <f t="shared" si="29"/>
        <v>5.700579829717777E-3</v>
      </c>
      <c r="X78" s="149">
        <f t="shared" si="30"/>
        <v>2.9701941823620237E-3</v>
      </c>
      <c r="Y78" s="153">
        <f t="shared" si="31"/>
        <v>0.17821165094172142</v>
      </c>
      <c r="Z78" s="166">
        <f t="shared" si="32"/>
        <v>-23.017681647681297</v>
      </c>
      <c r="AA78" s="147">
        <f t="shared" si="33"/>
        <v>39.329900430397799</v>
      </c>
      <c r="AB78" s="64"/>
      <c r="AC78" s="64"/>
      <c r="AD78" s="64"/>
      <c r="AG78" s="64"/>
      <c r="AH78" s="64"/>
      <c r="AI78" s="64"/>
    </row>
    <row r="79" spans="1:35">
      <c r="A79" s="174"/>
      <c r="B79" s="174">
        <v>2052</v>
      </c>
      <c r="C79" s="238">
        <f t="shared" si="38"/>
        <v>28200</v>
      </c>
      <c r="D79" s="237">
        <f t="shared" si="26"/>
        <v>26674.38</v>
      </c>
      <c r="E79" s="237">
        <f>C79*Inputs!$B$13</f>
        <v>1525.6200000000001</v>
      </c>
      <c r="F79" s="248">
        <f t="shared" si="24"/>
        <v>1.3525179856115108</v>
      </c>
      <c r="G79" s="174"/>
      <c r="H79" s="174"/>
      <c r="I79" s="174"/>
      <c r="S79" s="154">
        <f t="shared" si="39"/>
        <v>2044</v>
      </c>
      <c r="T79" s="149">
        <f t="shared" si="27"/>
        <v>3.5573862352619862E-3</v>
      </c>
      <c r="U79" s="148">
        <f t="shared" si="28"/>
        <v>0.21344317411571917</v>
      </c>
      <c r="V79" s="65">
        <f>Inputs!$B$35</f>
        <v>1.67</v>
      </c>
      <c r="W79" s="153">
        <f t="shared" si="29"/>
        <v>5.9408350128875168E-3</v>
      </c>
      <c r="X79" s="149">
        <f t="shared" si="30"/>
        <v>3.0878657688246658E-3</v>
      </c>
      <c r="Y79" s="153">
        <f t="shared" si="31"/>
        <v>0.18527194612947995</v>
      </c>
      <c r="Z79" s="166">
        <f t="shared" si="32"/>
        <v>-27.899721078474272</v>
      </c>
      <c r="AA79" s="147">
        <f t="shared" si="33"/>
        <v>42.516427091743651</v>
      </c>
      <c r="AB79" s="64"/>
      <c r="AC79" s="64"/>
      <c r="AD79" s="64"/>
      <c r="AG79" s="64"/>
      <c r="AH79" s="64"/>
      <c r="AI79" s="64"/>
    </row>
    <row r="80" spans="1:35">
      <c r="A80" s="174"/>
      <c r="B80" s="174">
        <v>2053</v>
      </c>
      <c r="C80" s="238">
        <f t="shared" si="38"/>
        <v>28200</v>
      </c>
      <c r="D80" s="237">
        <f t="shared" si="26"/>
        <v>26674.38</v>
      </c>
      <c r="E80" s="237">
        <f>C80*Inputs!$B$13</f>
        <v>1525.6200000000001</v>
      </c>
      <c r="F80" s="248">
        <f t="shared" si="24"/>
        <v>1.3525179856115108</v>
      </c>
      <c r="G80" s="174"/>
      <c r="H80" s="174"/>
      <c r="I80" s="174"/>
      <c r="S80" s="160">
        <v>2045</v>
      </c>
      <c r="T80" s="161">
        <f t="shared" si="27"/>
        <v>3.6980287752491209E-3</v>
      </c>
      <c r="U80" s="162">
        <f t="shared" si="28"/>
        <v>0.22188172651494725</v>
      </c>
      <c r="V80" s="66">
        <f>Inputs!$B$35</f>
        <v>1.67</v>
      </c>
      <c r="W80" s="163">
        <f t="shared" si="29"/>
        <v>6.1757080546660315E-3</v>
      </c>
      <c r="X80" s="161">
        <f t="shared" si="30"/>
        <v>3.2031778912262054E-3</v>
      </c>
      <c r="Y80" s="163">
        <f t="shared" si="31"/>
        <v>0.19219067347357233</v>
      </c>
      <c r="Z80" s="166">
        <f t="shared" si="32"/>
        <v>-32.781125792536109</v>
      </c>
      <c r="AA80" s="147">
        <f t="shared" si="33"/>
        <v>45.702018148614201</v>
      </c>
      <c r="AB80" s="64"/>
      <c r="AC80" s="64"/>
      <c r="AD80" s="64"/>
      <c r="AG80" s="64"/>
      <c r="AH80" s="64"/>
      <c r="AI80" s="64"/>
    </row>
    <row r="81" spans="1:35">
      <c r="A81" s="174"/>
      <c r="B81" s="174">
        <v>2054</v>
      </c>
      <c r="C81" s="238">
        <f t="shared" si="38"/>
        <v>28200</v>
      </c>
      <c r="D81" s="237">
        <f t="shared" si="26"/>
        <v>26674.38</v>
      </c>
      <c r="E81" s="237">
        <f>C81*Inputs!$B$13</f>
        <v>1525.6200000000001</v>
      </c>
      <c r="F81" s="248">
        <f t="shared" si="24"/>
        <v>1.3525179856115108</v>
      </c>
      <c r="G81" s="174"/>
      <c r="H81" s="174"/>
      <c r="I81" s="174"/>
      <c r="S81" s="175">
        <v>2046</v>
      </c>
      <c r="T81" s="192">
        <f t="shared" si="27"/>
        <v>3.6980287752491209E-3</v>
      </c>
      <c r="U81" s="193">
        <f t="shared" ref="U81:W95" si="40">U$80</f>
        <v>0.22188172651494725</v>
      </c>
      <c r="V81" s="59">
        <f t="shared" si="40"/>
        <v>1.67</v>
      </c>
      <c r="W81" s="194">
        <f t="shared" si="40"/>
        <v>6.1757080546660315E-3</v>
      </c>
      <c r="X81" s="192">
        <f t="shared" si="30"/>
        <v>3.2031778912262054E-3</v>
      </c>
      <c r="Y81" s="194">
        <f t="shared" ref="Y81:Y95" si="41">Y$80</f>
        <v>0.19219067347357233</v>
      </c>
      <c r="Z81" s="195">
        <f t="shared" si="32"/>
        <v>-32.781125792536109</v>
      </c>
      <c r="AA81" s="196">
        <f t="shared" si="33"/>
        <v>45.702018148614201</v>
      </c>
      <c r="AB81" s="64"/>
      <c r="AC81" s="64"/>
      <c r="AD81" s="64"/>
      <c r="AG81" s="64"/>
      <c r="AH81" s="64"/>
      <c r="AI81" s="64"/>
    </row>
    <row r="82" spans="1:35">
      <c r="A82" s="174"/>
      <c r="B82" s="174">
        <v>2055</v>
      </c>
      <c r="C82" s="238">
        <f t="shared" si="38"/>
        <v>28200</v>
      </c>
      <c r="D82" s="237">
        <f t="shared" si="26"/>
        <v>26674.38</v>
      </c>
      <c r="E82" s="237">
        <f>C82*Inputs!$B$13</f>
        <v>1525.6200000000001</v>
      </c>
      <c r="F82" s="248">
        <f t="shared" si="24"/>
        <v>1.3525179856115108</v>
      </c>
      <c r="G82" s="174"/>
      <c r="H82" s="174"/>
      <c r="I82" s="174"/>
      <c r="S82" s="175">
        <v>2047</v>
      </c>
      <c r="T82" s="192">
        <f t="shared" si="27"/>
        <v>3.6980287752491209E-3</v>
      </c>
      <c r="U82" s="193">
        <f t="shared" si="40"/>
        <v>0.22188172651494725</v>
      </c>
      <c r="V82" s="59">
        <f t="shared" si="40"/>
        <v>1.67</v>
      </c>
      <c r="W82" s="194">
        <f t="shared" si="40"/>
        <v>6.1757080546660315E-3</v>
      </c>
      <c r="X82" s="192">
        <f t="shared" si="30"/>
        <v>3.2031778912262054E-3</v>
      </c>
      <c r="Y82" s="194">
        <f t="shared" si="41"/>
        <v>0.19219067347357233</v>
      </c>
      <c r="Z82" s="195">
        <f t="shared" si="32"/>
        <v>-32.781125792536109</v>
      </c>
      <c r="AA82" s="196">
        <f t="shared" si="33"/>
        <v>45.702018148614201</v>
      </c>
      <c r="AB82" s="64"/>
      <c r="AC82" s="64"/>
      <c r="AD82" s="64"/>
      <c r="AG82" s="64"/>
      <c r="AH82" s="64"/>
      <c r="AI82" s="64"/>
    </row>
    <row r="83" spans="1:35">
      <c r="A83" s="174"/>
      <c r="B83" s="174">
        <v>2056</v>
      </c>
      <c r="C83" s="238">
        <f t="shared" si="38"/>
        <v>28200</v>
      </c>
      <c r="D83" s="237">
        <f t="shared" ref="D83:D87" si="42">C83-E83</f>
        <v>26674.38</v>
      </c>
      <c r="E83" s="237">
        <f>C83*Inputs!$B$13</f>
        <v>1525.6200000000001</v>
      </c>
      <c r="F83" s="248">
        <f t="shared" si="24"/>
        <v>1.3525179856115108</v>
      </c>
      <c r="G83" s="174"/>
      <c r="H83" s="174"/>
      <c r="I83" s="174"/>
      <c r="S83" s="175">
        <v>2048</v>
      </c>
      <c r="T83" s="192">
        <f t="shared" si="27"/>
        <v>3.6980287752491209E-3</v>
      </c>
      <c r="U83" s="193">
        <f t="shared" si="40"/>
        <v>0.22188172651494725</v>
      </c>
      <c r="V83" s="59">
        <f t="shared" si="40"/>
        <v>1.67</v>
      </c>
      <c r="W83" s="194">
        <f t="shared" si="40"/>
        <v>6.1757080546660315E-3</v>
      </c>
      <c r="X83" s="192">
        <f t="shared" si="30"/>
        <v>3.2031778912262054E-3</v>
      </c>
      <c r="Y83" s="194">
        <f t="shared" si="41"/>
        <v>0.19219067347357233</v>
      </c>
      <c r="Z83" s="195">
        <f t="shared" si="32"/>
        <v>-32.781125792536109</v>
      </c>
      <c r="AA83" s="196">
        <f t="shared" si="33"/>
        <v>45.702018148614201</v>
      </c>
      <c r="AB83" s="64"/>
      <c r="AC83" s="64"/>
      <c r="AD83" s="64"/>
      <c r="AG83" s="64"/>
      <c r="AH83" s="64"/>
      <c r="AI83" s="64"/>
    </row>
    <row r="84" spans="1:35">
      <c r="A84" s="174"/>
      <c r="B84" s="174">
        <v>2057</v>
      </c>
      <c r="C84" s="238">
        <f t="shared" si="38"/>
        <v>28200</v>
      </c>
      <c r="D84" s="237">
        <f t="shared" si="42"/>
        <v>26674.38</v>
      </c>
      <c r="E84" s="237">
        <f>C84*Inputs!$B$13</f>
        <v>1525.6200000000001</v>
      </c>
      <c r="F84" s="248">
        <f t="shared" si="24"/>
        <v>1.3525179856115108</v>
      </c>
      <c r="G84" s="174"/>
      <c r="H84" s="174"/>
      <c r="I84" s="174"/>
      <c r="S84" s="175">
        <v>2049</v>
      </c>
      <c r="T84" s="192">
        <f t="shared" si="27"/>
        <v>3.6980287752491209E-3</v>
      </c>
      <c r="U84" s="193">
        <f t="shared" si="40"/>
        <v>0.22188172651494725</v>
      </c>
      <c r="V84" s="59">
        <f t="shared" si="40"/>
        <v>1.67</v>
      </c>
      <c r="W84" s="194">
        <f t="shared" si="40"/>
        <v>6.1757080546660315E-3</v>
      </c>
      <c r="X84" s="192">
        <f t="shared" si="30"/>
        <v>3.2031778912262054E-3</v>
      </c>
      <c r="Y84" s="194">
        <f t="shared" si="41"/>
        <v>0.19219067347357233</v>
      </c>
      <c r="Z84" s="195">
        <f t="shared" si="32"/>
        <v>-32.781125792536109</v>
      </c>
      <c r="AA84" s="196">
        <f t="shared" si="33"/>
        <v>45.702018148614201</v>
      </c>
      <c r="AB84" s="64"/>
      <c r="AC84" s="64"/>
      <c r="AD84" s="64"/>
      <c r="AG84" s="64"/>
      <c r="AH84" s="64"/>
      <c r="AI84" s="64"/>
    </row>
    <row r="85" spans="1:35">
      <c r="A85" s="174"/>
      <c r="B85" s="174">
        <v>2058</v>
      </c>
      <c r="C85" s="238">
        <f t="shared" si="38"/>
        <v>28200</v>
      </c>
      <c r="D85" s="237">
        <f t="shared" si="42"/>
        <v>26674.38</v>
      </c>
      <c r="E85" s="237">
        <f>C85*Inputs!$B$13</f>
        <v>1525.6200000000001</v>
      </c>
      <c r="F85" s="248">
        <f t="shared" si="24"/>
        <v>1.3525179856115108</v>
      </c>
      <c r="G85" s="174"/>
      <c r="H85" s="174"/>
      <c r="I85" s="174"/>
      <c r="S85" s="175">
        <v>2050</v>
      </c>
      <c r="T85" s="192">
        <f t="shared" si="27"/>
        <v>3.6980287752491209E-3</v>
      </c>
      <c r="U85" s="193">
        <f t="shared" si="40"/>
        <v>0.22188172651494725</v>
      </c>
      <c r="V85" s="59">
        <f t="shared" si="40"/>
        <v>1.67</v>
      </c>
      <c r="W85" s="194">
        <f t="shared" si="40"/>
        <v>6.1757080546660315E-3</v>
      </c>
      <c r="X85" s="192">
        <f t="shared" si="30"/>
        <v>3.2031778912262054E-3</v>
      </c>
      <c r="Y85" s="194">
        <f t="shared" si="41"/>
        <v>0.19219067347357233</v>
      </c>
      <c r="Z85" s="195">
        <f t="shared" si="32"/>
        <v>-32.781125792536109</v>
      </c>
      <c r="AA85" s="196">
        <f t="shared" si="33"/>
        <v>45.702018148614201</v>
      </c>
      <c r="AB85" s="64"/>
      <c r="AC85" s="64"/>
      <c r="AD85" s="64"/>
      <c r="AG85" s="64"/>
      <c r="AH85" s="64"/>
      <c r="AI85" s="64"/>
    </row>
    <row r="86" spans="1:35">
      <c r="A86" s="174"/>
      <c r="B86" s="174">
        <v>2059</v>
      </c>
      <c r="C86" s="238">
        <f t="shared" si="38"/>
        <v>28200</v>
      </c>
      <c r="D86" s="237">
        <f t="shared" si="42"/>
        <v>26674.38</v>
      </c>
      <c r="E86" s="237">
        <f>C86*Inputs!$B$13</f>
        <v>1525.6200000000001</v>
      </c>
      <c r="F86" s="248">
        <f t="shared" si="24"/>
        <v>1.3525179856115108</v>
      </c>
      <c r="G86" s="174"/>
      <c r="H86" s="174"/>
      <c r="I86" s="174"/>
      <c r="S86" s="175">
        <v>2051</v>
      </c>
      <c r="T86" s="192">
        <f t="shared" si="27"/>
        <v>3.6980287752491209E-3</v>
      </c>
      <c r="U86" s="193">
        <f t="shared" si="40"/>
        <v>0.22188172651494725</v>
      </c>
      <c r="V86" s="59">
        <f t="shared" si="40"/>
        <v>1.67</v>
      </c>
      <c r="W86" s="194">
        <f t="shared" si="40"/>
        <v>6.1757080546660315E-3</v>
      </c>
      <c r="X86" s="192">
        <f t="shared" si="30"/>
        <v>3.2031778912262054E-3</v>
      </c>
      <c r="Y86" s="194">
        <f t="shared" si="41"/>
        <v>0.19219067347357233</v>
      </c>
      <c r="Z86" s="195">
        <f t="shared" si="32"/>
        <v>-32.781125792536109</v>
      </c>
      <c r="AA86" s="196">
        <f t="shared" si="33"/>
        <v>45.702018148614201</v>
      </c>
      <c r="AB86" s="64"/>
      <c r="AC86" s="64"/>
      <c r="AD86" s="64"/>
      <c r="AG86" s="64"/>
      <c r="AH86" s="64"/>
      <c r="AI86" s="64"/>
    </row>
    <row r="87" spans="1:35">
      <c r="A87" s="174"/>
      <c r="B87" s="174">
        <v>2060</v>
      </c>
      <c r="C87" s="238">
        <f t="shared" si="38"/>
        <v>28200</v>
      </c>
      <c r="D87" s="237">
        <f t="shared" si="42"/>
        <v>26674.38</v>
      </c>
      <c r="E87" s="237">
        <f>C87*Inputs!$B$13</f>
        <v>1525.6200000000001</v>
      </c>
      <c r="F87" s="248">
        <f t="shared" si="24"/>
        <v>1.3525179856115108</v>
      </c>
      <c r="G87" s="174"/>
      <c r="H87" s="174"/>
      <c r="I87" s="174"/>
      <c r="S87" s="175">
        <v>2052</v>
      </c>
      <c r="T87" s="192">
        <f t="shared" si="27"/>
        <v>3.6980287752491209E-3</v>
      </c>
      <c r="U87" s="193">
        <f t="shared" si="40"/>
        <v>0.22188172651494725</v>
      </c>
      <c r="V87" s="59">
        <f t="shared" si="40"/>
        <v>1.67</v>
      </c>
      <c r="W87" s="194">
        <f t="shared" si="40"/>
        <v>6.1757080546660315E-3</v>
      </c>
      <c r="X87" s="192">
        <f t="shared" si="30"/>
        <v>3.2031778912262054E-3</v>
      </c>
      <c r="Y87" s="194">
        <f t="shared" si="41"/>
        <v>0.19219067347357233</v>
      </c>
      <c r="Z87" s="195">
        <f t="shared" si="32"/>
        <v>-32.781125792536109</v>
      </c>
      <c r="AA87" s="196">
        <f t="shared" si="33"/>
        <v>45.702018148614201</v>
      </c>
      <c r="AE87"/>
      <c r="AF87"/>
    </row>
    <row r="88" spans="1:35">
      <c r="S88" s="175">
        <v>2053</v>
      </c>
      <c r="T88" s="192">
        <f t="shared" si="27"/>
        <v>3.6980287752491209E-3</v>
      </c>
      <c r="U88" s="193">
        <f t="shared" si="40"/>
        <v>0.22188172651494725</v>
      </c>
      <c r="V88" s="59">
        <f t="shared" si="40"/>
        <v>1.67</v>
      </c>
      <c r="W88" s="194">
        <f t="shared" si="40"/>
        <v>6.1757080546660315E-3</v>
      </c>
      <c r="X88" s="192">
        <f t="shared" si="30"/>
        <v>3.2031778912262054E-3</v>
      </c>
      <c r="Y88" s="194">
        <f t="shared" si="41"/>
        <v>0.19219067347357233</v>
      </c>
      <c r="Z88" s="195">
        <f t="shared" si="32"/>
        <v>-32.781125792536109</v>
      </c>
      <c r="AA88" s="196">
        <f t="shared" si="33"/>
        <v>45.702018148614201</v>
      </c>
      <c r="AE88"/>
      <c r="AF88"/>
    </row>
    <row r="89" spans="1:35">
      <c r="S89" s="175">
        <v>2054</v>
      </c>
      <c r="T89" s="192">
        <f t="shared" si="27"/>
        <v>3.6980287752491209E-3</v>
      </c>
      <c r="U89" s="193">
        <f t="shared" si="40"/>
        <v>0.22188172651494725</v>
      </c>
      <c r="V89" s="59">
        <f t="shared" si="40"/>
        <v>1.67</v>
      </c>
      <c r="W89" s="194">
        <f t="shared" si="40"/>
        <v>6.1757080546660315E-3</v>
      </c>
      <c r="X89" s="192">
        <f t="shared" si="30"/>
        <v>3.2031778912262054E-3</v>
      </c>
      <c r="Y89" s="194">
        <f t="shared" si="41"/>
        <v>0.19219067347357233</v>
      </c>
      <c r="Z89" s="195">
        <f t="shared" si="32"/>
        <v>-32.781125792536109</v>
      </c>
      <c r="AA89" s="196">
        <f t="shared" si="33"/>
        <v>45.702018148614201</v>
      </c>
      <c r="AE89"/>
      <c r="AF89"/>
    </row>
    <row r="90" spans="1:35" ht="15.75" thickBot="1">
      <c r="S90" s="184">
        <v>2055</v>
      </c>
      <c r="T90" s="197">
        <f t="shared" si="27"/>
        <v>3.6980287752491209E-3</v>
      </c>
      <c r="U90" s="198">
        <f t="shared" si="40"/>
        <v>0.22188172651494725</v>
      </c>
      <c r="V90" s="189">
        <f t="shared" si="40"/>
        <v>1.67</v>
      </c>
      <c r="W90" s="199">
        <f t="shared" si="40"/>
        <v>6.1757080546660315E-3</v>
      </c>
      <c r="X90" s="197">
        <f t="shared" si="30"/>
        <v>3.2031778912262054E-3</v>
      </c>
      <c r="Y90" s="199">
        <f t="shared" si="41"/>
        <v>0.19219067347357233</v>
      </c>
      <c r="Z90" s="200">
        <f t="shared" si="32"/>
        <v>-32.781125792536109</v>
      </c>
      <c r="AA90" s="201">
        <f t="shared" si="33"/>
        <v>45.702018148614201</v>
      </c>
      <c r="AE90"/>
      <c r="AF90"/>
    </row>
    <row r="91" spans="1:35">
      <c r="S91" s="175">
        <v>2056</v>
      </c>
      <c r="T91" s="192">
        <f t="shared" si="27"/>
        <v>3.6980287752491209E-3</v>
      </c>
      <c r="U91" s="193">
        <f t="shared" si="40"/>
        <v>0.22188172651494725</v>
      </c>
      <c r="V91" s="59">
        <f t="shared" si="40"/>
        <v>1.67</v>
      </c>
      <c r="W91" s="194">
        <f t="shared" si="40"/>
        <v>6.1757080546660315E-3</v>
      </c>
      <c r="X91" s="192">
        <f t="shared" si="30"/>
        <v>3.2031778912262054E-3</v>
      </c>
      <c r="Y91" s="194">
        <f t="shared" si="41"/>
        <v>0.19219067347357233</v>
      </c>
      <c r="Z91" s="195">
        <f t="shared" si="32"/>
        <v>-32.781125792536109</v>
      </c>
      <c r="AA91" s="196">
        <f t="shared" si="33"/>
        <v>45.702018148614201</v>
      </c>
      <c r="AE91"/>
      <c r="AF91"/>
    </row>
    <row r="92" spans="1:35">
      <c r="S92" s="175">
        <v>2057</v>
      </c>
      <c r="T92" s="192">
        <f t="shared" si="27"/>
        <v>3.6980287752491209E-3</v>
      </c>
      <c r="U92" s="193">
        <f t="shared" si="40"/>
        <v>0.22188172651494725</v>
      </c>
      <c r="V92" s="59">
        <f t="shared" si="40"/>
        <v>1.67</v>
      </c>
      <c r="W92" s="194">
        <f t="shared" si="40"/>
        <v>6.1757080546660315E-3</v>
      </c>
      <c r="X92" s="192">
        <f t="shared" si="30"/>
        <v>3.2031778912262054E-3</v>
      </c>
      <c r="Y92" s="194">
        <f t="shared" si="41"/>
        <v>0.19219067347357233</v>
      </c>
      <c r="Z92" s="195">
        <f t="shared" si="32"/>
        <v>-32.781125792536109</v>
      </c>
      <c r="AA92" s="196">
        <f t="shared" si="33"/>
        <v>45.702018148614201</v>
      </c>
      <c r="AB92" s="64"/>
      <c r="AC92" s="64"/>
      <c r="AD92" s="64"/>
      <c r="AG92" s="64"/>
      <c r="AH92" s="64"/>
      <c r="AI92" s="64"/>
    </row>
    <row r="93" spans="1:35">
      <c r="S93" s="175">
        <v>2058</v>
      </c>
      <c r="T93" s="192">
        <f t="shared" si="27"/>
        <v>3.6980287752491209E-3</v>
      </c>
      <c r="U93" s="193">
        <f t="shared" si="40"/>
        <v>0.22188172651494725</v>
      </c>
      <c r="V93" s="59">
        <f t="shared" si="40"/>
        <v>1.67</v>
      </c>
      <c r="W93" s="194">
        <f t="shared" si="40"/>
        <v>6.1757080546660315E-3</v>
      </c>
      <c r="X93" s="192">
        <f t="shared" si="30"/>
        <v>3.2031778912262054E-3</v>
      </c>
      <c r="Y93" s="194">
        <f t="shared" si="41"/>
        <v>0.19219067347357233</v>
      </c>
      <c r="Z93" s="195">
        <f t="shared" si="32"/>
        <v>-32.781125792536109</v>
      </c>
      <c r="AA93" s="196">
        <f t="shared" si="33"/>
        <v>45.702018148614201</v>
      </c>
      <c r="AB93" s="64"/>
      <c r="AC93" s="64"/>
      <c r="AD93" s="64"/>
      <c r="AG93" s="64"/>
      <c r="AH93" s="64"/>
      <c r="AI93" s="64"/>
    </row>
    <row r="94" spans="1:35">
      <c r="S94" s="175">
        <v>2059</v>
      </c>
      <c r="T94" s="192">
        <f t="shared" si="27"/>
        <v>3.6980287752491209E-3</v>
      </c>
      <c r="U94" s="193">
        <f t="shared" si="40"/>
        <v>0.22188172651494725</v>
      </c>
      <c r="V94" s="59">
        <f t="shared" si="40"/>
        <v>1.67</v>
      </c>
      <c r="W94" s="194">
        <f t="shared" si="40"/>
        <v>6.1757080546660315E-3</v>
      </c>
      <c r="X94" s="192">
        <f t="shared" si="30"/>
        <v>3.2031778912262054E-3</v>
      </c>
      <c r="Y94" s="194">
        <f t="shared" si="41"/>
        <v>0.19219067347357233</v>
      </c>
      <c r="Z94" s="195">
        <f t="shared" si="32"/>
        <v>-32.781125792536109</v>
      </c>
      <c r="AA94" s="196">
        <f t="shared" si="33"/>
        <v>45.702018148614201</v>
      </c>
      <c r="AB94" s="64"/>
      <c r="AC94" s="64"/>
      <c r="AD94" s="64"/>
      <c r="AG94" s="64"/>
      <c r="AH94" s="64"/>
      <c r="AI94" s="64"/>
    </row>
    <row r="95" spans="1:35" ht="15.75" thickBot="1">
      <c r="S95" s="184">
        <v>2060</v>
      </c>
      <c r="T95" s="197">
        <f t="shared" si="27"/>
        <v>3.6980287752491209E-3</v>
      </c>
      <c r="U95" s="198">
        <f t="shared" si="40"/>
        <v>0.22188172651494725</v>
      </c>
      <c r="V95" s="189">
        <f t="shared" si="40"/>
        <v>1.67</v>
      </c>
      <c r="W95" s="199">
        <f t="shared" si="40"/>
        <v>6.1757080546660315E-3</v>
      </c>
      <c r="X95" s="197">
        <f t="shared" si="30"/>
        <v>3.2031778912262054E-3</v>
      </c>
      <c r="Y95" s="199">
        <f t="shared" si="41"/>
        <v>0.19219067347357233</v>
      </c>
      <c r="Z95" s="200">
        <f t="shared" si="32"/>
        <v>-32.781125792536109</v>
      </c>
      <c r="AA95" s="201">
        <f t="shared" si="33"/>
        <v>45.702018148614201</v>
      </c>
      <c r="AB95" s="64"/>
      <c r="AC95" s="64"/>
      <c r="AD95" s="64"/>
      <c r="AG95" s="64"/>
      <c r="AH95" s="64"/>
      <c r="AI95" s="64"/>
    </row>
  </sheetData>
  <mergeCells count="53">
    <mergeCell ref="Z52:AA52"/>
    <mergeCell ref="S50:S53"/>
    <mergeCell ref="T49:AA49"/>
    <mergeCell ref="T50:W50"/>
    <mergeCell ref="X50:Y50"/>
    <mergeCell ref="T51:T52"/>
    <mergeCell ref="U51:U52"/>
    <mergeCell ref="V51:V52"/>
    <mergeCell ref="X51:X52"/>
    <mergeCell ref="Y51:Y52"/>
    <mergeCell ref="W51:W52"/>
    <mergeCell ref="A17:D17"/>
    <mergeCell ref="A18:D18"/>
    <mergeCell ref="A19:D19"/>
    <mergeCell ref="A13:D13"/>
    <mergeCell ref="A14:D14"/>
    <mergeCell ref="A16:D16"/>
    <mergeCell ref="A15:D15"/>
    <mergeCell ref="A20:D20"/>
    <mergeCell ref="A21:D21"/>
    <mergeCell ref="A22:D22"/>
    <mergeCell ref="A23:D23"/>
    <mergeCell ref="A24:D24"/>
    <mergeCell ref="A30:D30"/>
    <mergeCell ref="A31:D31"/>
    <mergeCell ref="C33:D33"/>
    <mergeCell ref="C34:D34"/>
    <mergeCell ref="A25:D25"/>
    <mergeCell ref="A26:D26"/>
    <mergeCell ref="A27:D27"/>
    <mergeCell ref="A28:D28"/>
    <mergeCell ref="A29:D29"/>
    <mergeCell ref="A10:D10"/>
    <mergeCell ref="A11:D11"/>
    <mergeCell ref="A12:D12"/>
    <mergeCell ref="F2:F4"/>
    <mergeCell ref="A2:D4"/>
    <mergeCell ref="A5:D5"/>
    <mergeCell ref="A6:D6"/>
    <mergeCell ref="A7:D7"/>
    <mergeCell ref="E2:E4"/>
    <mergeCell ref="T2:AA2"/>
    <mergeCell ref="T3:W3"/>
    <mergeCell ref="X3:AA3"/>
    <mergeCell ref="A8:D8"/>
    <mergeCell ref="A9:D9"/>
    <mergeCell ref="G2:G4"/>
    <mergeCell ref="H2:H4"/>
    <mergeCell ref="I2:I4"/>
    <mergeCell ref="L3:O3"/>
    <mergeCell ref="P3:S3"/>
    <mergeCell ref="L2:S2"/>
    <mergeCell ref="K2:K4"/>
  </mergeCells>
  <phoneticPr fontId="66" type="noConversion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6" tint="-0.249977111117893"/>
  </sheetPr>
  <dimension ref="A1:AU60"/>
  <sheetViews>
    <sheetView workbookViewId="0"/>
  </sheetViews>
  <sheetFormatPr defaultRowHeight="15"/>
  <cols>
    <col min="1" max="1" width="10.7109375" style="332" customWidth="1"/>
    <col min="2" max="2" width="25.28515625" customWidth="1"/>
    <col min="3" max="3" width="18" customWidth="1"/>
    <col min="4" max="4" width="17.140625" customWidth="1"/>
    <col min="5" max="5" width="18.140625" customWidth="1"/>
    <col min="6" max="6" width="14.5703125" customWidth="1"/>
    <col min="7" max="7" width="15.7109375" customWidth="1"/>
    <col min="8" max="8" width="18" customWidth="1"/>
    <col min="9" max="9" width="17.140625" customWidth="1"/>
    <col min="10" max="10" width="18.140625" customWidth="1"/>
    <col min="11" max="11" width="14.5703125" customWidth="1"/>
    <col min="12" max="12" width="15.7109375" customWidth="1"/>
    <col min="13" max="13" width="18" customWidth="1"/>
    <col min="14" max="14" width="17.140625" customWidth="1"/>
    <col min="15" max="15" width="18.140625" customWidth="1"/>
    <col min="16" max="16" width="14.5703125" customWidth="1"/>
    <col min="17" max="17" width="15.7109375" customWidth="1"/>
    <col min="18" max="18" width="18" customWidth="1"/>
    <col min="19" max="19" width="17.140625" customWidth="1"/>
    <col min="20" max="20" width="18.140625" customWidth="1"/>
    <col min="21" max="21" width="14.5703125" customWidth="1"/>
    <col min="22" max="22" width="15.7109375" customWidth="1"/>
    <col min="23" max="23" width="18" customWidth="1"/>
    <col min="24" max="24" width="17.140625" customWidth="1"/>
    <col min="25" max="25" width="18.140625" customWidth="1"/>
    <col min="26" max="26" width="14.5703125" customWidth="1"/>
    <col min="27" max="27" width="15.7109375" customWidth="1"/>
    <col min="28" max="28" width="18" customWidth="1"/>
    <col min="29" max="29" width="17.140625" customWidth="1"/>
    <col min="30" max="30" width="18.140625" customWidth="1"/>
    <col min="31" max="31" width="14.5703125" customWidth="1"/>
    <col min="32" max="32" width="15.7109375" customWidth="1"/>
    <col min="33" max="33" width="18" customWidth="1"/>
    <col min="34" max="34" width="17.140625" customWidth="1"/>
    <col min="35" max="35" width="18.140625" customWidth="1"/>
    <col min="36" max="36" width="14.5703125" customWidth="1"/>
    <col min="37" max="37" width="15.7109375" customWidth="1"/>
    <col min="38" max="38" width="18" customWidth="1"/>
    <col min="39" max="39" width="17.140625" customWidth="1"/>
    <col min="40" max="40" width="18.140625" customWidth="1"/>
    <col min="41" max="41" width="14.5703125" customWidth="1"/>
    <col min="42" max="42" width="15.7109375" customWidth="1"/>
    <col min="43" max="43" width="18" customWidth="1"/>
    <col min="44" max="44" width="17.140625" customWidth="1"/>
    <col min="45" max="45" width="18.140625" customWidth="1"/>
    <col min="46" max="46" width="14.5703125" customWidth="1"/>
    <col min="47" max="47" width="15.7109375" customWidth="1"/>
    <col min="48" max="48" width="18" customWidth="1"/>
    <col min="49" max="49" width="17.140625" customWidth="1"/>
    <col min="50" max="50" width="18.140625" customWidth="1"/>
    <col min="51" max="51" width="14.5703125" customWidth="1"/>
    <col min="52" max="52" width="15.7109375" customWidth="1"/>
    <col min="53" max="53" width="18" customWidth="1"/>
    <col min="54" max="54" width="17.140625" customWidth="1"/>
    <col min="55" max="55" width="18.140625" customWidth="1"/>
    <col min="56" max="56" width="14.5703125" customWidth="1"/>
    <col min="57" max="57" width="15.7109375" customWidth="1"/>
    <col min="58" max="58" width="18" customWidth="1"/>
    <col min="59" max="59" width="17.140625" customWidth="1"/>
    <col min="60" max="60" width="18.140625" customWidth="1"/>
    <col min="61" max="61" width="14.5703125" customWidth="1"/>
    <col min="62" max="62" width="15.7109375" customWidth="1"/>
    <col min="63" max="63" width="18" customWidth="1"/>
    <col min="64" max="64" width="17.140625" customWidth="1"/>
    <col min="65" max="65" width="18.140625" customWidth="1"/>
    <col min="66" max="66" width="14.5703125" customWidth="1"/>
    <col min="67" max="67" width="15.7109375" customWidth="1"/>
  </cols>
  <sheetData>
    <row r="1" spans="1:47">
      <c r="A1" s="338"/>
      <c r="B1" s="16" t="s">
        <v>225</v>
      </c>
    </row>
    <row r="2" spans="1:47">
      <c r="B2" t="s">
        <v>359</v>
      </c>
    </row>
    <row r="5" spans="1:47">
      <c r="B5" s="171" t="s">
        <v>352</v>
      </c>
      <c r="C5" s="202">
        <f>Inputs!B33</f>
        <v>16.600000000000001</v>
      </c>
    </row>
    <row r="6" spans="1:47">
      <c r="B6" s="172" t="s">
        <v>102</v>
      </c>
      <c r="C6" s="203">
        <f>Inputs!B35</f>
        <v>1.67</v>
      </c>
    </row>
    <row r="7" spans="1:47">
      <c r="B7" s="173" t="s">
        <v>2</v>
      </c>
      <c r="C7" s="203">
        <f>Inputs!$B$14</f>
        <v>300</v>
      </c>
    </row>
    <row r="8" spans="1:47" ht="60">
      <c r="B8" s="172" t="s">
        <v>3</v>
      </c>
      <c r="C8" s="204" t="s">
        <v>360</v>
      </c>
    </row>
    <row r="9" spans="1:47">
      <c r="B9" s="174"/>
      <c r="C9" s="81"/>
    </row>
    <row r="10" spans="1:47">
      <c r="B10" s="174"/>
      <c r="C10" s="81"/>
    </row>
    <row r="11" spans="1:47">
      <c r="B11" s="174" t="s">
        <v>4</v>
      </c>
      <c r="C11" s="81">
        <f>Inputs!B10</f>
        <v>2020</v>
      </c>
    </row>
    <row r="13" spans="1:4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T13" s="2"/>
      <c r="AU13" s="2"/>
    </row>
    <row r="14" spans="1:47" ht="15.75" thickBot="1">
      <c r="B14" s="1"/>
      <c r="C14" s="1"/>
      <c r="D14" s="673" t="s">
        <v>486</v>
      </c>
      <c r="E14" s="673"/>
      <c r="F14" s="2">
        <f>Inputs!$B$3</f>
        <v>7.0000000000000007E-2</v>
      </c>
      <c r="G14" s="2">
        <f>Inputs!$B$4</f>
        <v>0.03</v>
      </c>
    </row>
    <row r="15" spans="1:47" ht="51">
      <c r="A15" s="75" t="s">
        <v>147</v>
      </c>
      <c r="B15" s="254" t="s">
        <v>0</v>
      </c>
      <c r="C15" s="3" t="s">
        <v>338</v>
      </c>
      <c r="D15" s="35" t="s">
        <v>263</v>
      </c>
      <c r="E15" s="4" t="s">
        <v>101</v>
      </c>
      <c r="F15" s="5" t="s">
        <v>264</v>
      </c>
      <c r="G15" s="5" t="s">
        <v>265</v>
      </c>
    </row>
    <row r="16" spans="1:47" ht="14.45" customHeight="1">
      <c r="A16" s="332">
        <f>IF((B16&gt;(Inputs!$B$7+Inputs!$B$8)),0,IF((B16&lt;Inputs!$B$7),0,((B16-Inputs!$B$7))))</f>
        <v>0</v>
      </c>
      <c r="B16" s="255">
        <v>2018</v>
      </c>
      <c r="C16" s="256"/>
      <c r="D16" s="257"/>
      <c r="E16" s="258">
        <v>0</v>
      </c>
      <c r="F16" s="258">
        <f t="shared" ref="F16:G35" si="0">ROUND($E16/((1+F$14)^($B16-$C$11)),0)</f>
        <v>0</v>
      </c>
      <c r="G16" s="259">
        <f t="shared" si="0"/>
        <v>0</v>
      </c>
    </row>
    <row r="17" spans="1:7" ht="14.45" customHeight="1">
      <c r="A17" s="332">
        <f>IF((B17&gt;(Inputs!$B$7+Inputs!$B$8)),0,IF((B17&lt;Inputs!$B$7),0,((B17-Inputs!$B$7))))</f>
        <v>0</v>
      </c>
      <c r="B17" s="255">
        <f>B16+1</f>
        <v>2019</v>
      </c>
      <c r="C17" s="260">
        <f>Traffic_related_data!$D46*$C$6*$C$7</f>
        <v>9880729.5149999987</v>
      </c>
      <c r="D17" s="261">
        <f>IF(($A17&gt;0),C17*Traffic_related_data!W54,0)</f>
        <v>0</v>
      </c>
      <c r="E17" s="262">
        <f>D17*$C$5</f>
        <v>0</v>
      </c>
      <c r="F17" s="258">
        <f t="shared" si="0"/>
        <v>0</v>
      </c>
      <c r="G17" s="259">
        <f t="shared" si="0"/>
        <v>0</v>
      </c>
    </row>
    <row r="18" spans="1:7">
      <c r="A18" s="332">
        <f>IF((B18&gt;(Inputs!$B$7+Inputs!$B$8)),0,IF((B18&lt;Inputs!$B$7),0,((B18-Inputs!$B$7))))</f>
        <v>0</v>
      </c>
      <c r="B18" s="255">
        <f t="shared" ref="B18:B36" si="1">B17+1</f>
        <v>2020</v>
      </c>
      <c r="C18" s="260">
        <f>Traffic_related_data!$D47*$C$6*$C$7</f>
        <v>9996154.8252471406</v>
      </c>
      <c r="D18" s="261">
        <f>IF(($A18&gt;0),C18*Traffic_related_data!W55,0)</f>
        <v>0</v>
      </c>
      <c r="E18" s="262">
        <f t="shared" ref="E18:E58" si="2">D18*$C$5</f>
        <v>0</v>
      </c>
      <c r="F18" s="258">
        <f t="shared" si="0"/>
        <v>0</v>
      </c>
      <c r="G18" s="259">
        <f t="shared" si="0"/>
        <v>0</v>
      </c>
    </row>
    <row r="19" spans="1:7">
      <c r="A19" s="332">
        <f>IF((B19&gt;(Inputs!$B$7+Inputs!$B$8)),0,IF((B19&lt;Inputs!$B$7),0,((B19-Inputs!$B$7))))</f>
        <v>0</v>
      </c>
      <c r="B19" s="255">
        <f t="shared" si="1"/>
        <v>2021</v>
      </c>
      <c r="C19" s="260">
        <f>Traffic_related_data!$D48*$C$6*$C$7</f>
        <v>10112928.517941691</v>
      </c>
      <c r="D19" s="261">
        <f>IF(($A19&gt;0),C19*Traffic_related_data!W56,0)</f>
        <v>0</v>
      </c>
      <c r="E19" s="262">
        <f t="shared" si="2"/>
        <v>0</v>
      </c>
      <c r="F19" s="258">
        <f t="shared" si="0"/>
        <v>0</v>
      </c>
      <c r="G19" s="259">
        <f t="shared" si="0"/>
        <v>0</v>
      </c>
    </row>
    <row r="20" spans="1:7">
      <c r="A20" s="332">
        <f>IF((B20&gt;(Inputs!$B$7+Inputs!$B$8)),0,IF((B20&lt;Inputs!$B$7),0,((B20-Inputs!$B$7))))</f>
        <v>0</v>
      </c>
      <c r="B20" s="255">
        <f t="shared" si="1"/>
        <v>2022</v>
      </c>
      <c r="C20" s="260">
        <f>Traffic_related_data!$D49*$C$6*$C$7</f>
        <v>10231066.344700182</v>
      </c>
      <c r="D20" s="261">
        <f>IF(($A20&gt;0),C20*Traffic_related_data!W57,0)</f>
        <v>0</v>
      </c>
      <c r="E20" s="262">
        <f t="shared" si="2"/>
        <v>0</v>
      </c>
      <c r="F20" s="258">
        <f t="shared" si="0"/>
        <v>0</v>
      </c>
      <c r="G20" s="259">
        <f t="shared" si="0"/>
        <v>0</v>
      </c>
    </row>
    <row r="21" spans="1:7">
      <c r="A21" s="332">
        <f>IF((B21&gt;(Inputs!$B$7+Inputs!$B$8)),0,IF((B21&lt;Inputs!$B$7),0,((B21-Inputs!$B$7))))</f>
        <v>0</v>
      </c>
      <c r="B21" s="255">
        <f t="shared" si="1"/>
        <v>2023</v>
      </c>
      <c r="C21" s="260">
        <f>Traffic_related_data!$D50*$C$6*$C$7</f>
        <v>10350584.241147334</v>
      </c>
      <c r="D21" s="261">
        <f>IF(($A21&gt;0),C21*Traffic_related_data!W58,0)</f>
        <v>0</v>
      </c>
      <c r="E21" s="262">
        <f t="shared" si="2"/>
        <v>0</v>
      </c>
      <c r="F21" s="258">
        <f t="shared" si="0"/>
        <v>0</v>
      </c>
      <c r="G21" s="259">
        <f t="shared" si="0"/>
        <v>0</v>
      </c>
    </row>
    <row r="22" spans="1:7">
      <c r="A22" s="332">
        <f>IF((B22&gt;(Inputs!$B$7+Inputs!$B$8)),0,IF((B22&lt;Inputs!$B$7),0,((B22-Inputs!$B$7))))</f>
        <v>0</v>
      </c>
      <c r="B22" s="255">
        <f t="shared" si="1"/>
        <v>2024</v>
      </c>
      <c r="C22" s="260">
        <f>Traffic_related_data!$D51*$C$6*$C$7</f>
        <v>10471498.329065626</v>
      </c>
      <c r="D22" s="261">
        <f>IF(($A22&gt;0),C22*Traffic_related_data!W59,0)</f>
        <v>0</v>
      </c>
      <c r="E22" s="262">
        <f t="shared" si="2"/>
        <v>0</v>
      </c>
      <c r="F22" s="258">
        <f t="shared" si="0"/>
        <v>0</v>
      </c>
      <c r="G22" s="259">
        <f t="shared" si="0"/>
        <v>0</v>
      </c>
    </row>
    <row r="23" spans="1:7">
      <c r="A23" s="332">
        <f>IF((B23&gt;(Inputs!$B$7+Inputs!$B$8)),0,IF((B23&lt;Inputs!$B$7),0,((B23-Inputs!$B$7))))</f>
        <v>0</v>
      </c>
      <c r="B23" s="255">
        <f t="shared" si="1"/>
        <v>2025</v>
      </c>
      <c r="C23" s="260">
        <f>Traffic_related_data!$D52*$C$6*$C$7</f>
        <v>10593824.918569967</v>
      </c>
      <c r="D23" s="261">
        <f>IF(($A23&gt;0),C23*Traffic_related_data!W60,0)</f>
        <v>0</v>
      </c>
      <c r="E23" s="262">
        <f t="shared" si="2"/>
        <v>0</v>
      </c>
      <c r="F23" s="258">
        <f t="shared" si="0"/>
        <v>0</v>
      </c>
      <c r="G23" s="259">
        <f t="shared" si="0"/>
        <v>0</v>
      </c>
    </row>
    <row r="24" spans="1:7">
      <c r="A24" s="332">
        <f>IF((B24&gt;(Inputs!$B$7+Inputs!$B$8)),0,IF((B24&lt;Inputs!$B$7),0,((B24-Inputs!$B$7))))</f>
        <v>1</v>
      </c>
      <c r="B24" s="255">
        <f t="shared" si="1"/>
        <v>2026</v>
      </c>
      <c r="C24" s="260">
        <f>Traffic_related_data!$D53*$C$6*$C$7</f>
        <v>10717580.51030775</v>
      </c>
      <c r="D24" s="261">
        <f>IF(($A24&gt;0),C24*Traffic_related_data!W61,0)</f>
        <v>33662.629895065606</v>
      </c>
      <c r="E24" s="262">
        <f t="shared" si="2"/>
        <v>558799.65625808912</v>
      </c>
      <c r="F24" s="258">
        <f t="shared" si="0"/>
        <v>372352</v>
      </c>
      <c r="G24" s="259">
        <f t="shared" si="0"/>
        <v>467986</v>
      </c>
    </row>
    <row r="25" spans="1:7">
      <c r="A25" s="332">
        <f>IF((B25&gt;(Inputs!$B$7+Inputs!$B$8)),0,IF((B25&lt;Inputs!$B$7),0,((B25-Inputs!$B$7))))</f>
        <v>2</v>
      </c>
      <c r="B25" s="255">
        <f t="shared" si="1"/>
        <v>2027</v>
      </c>
      <c r="C25" s="260">
        <f>Traffic_related_data!$D54*$C$6*$C$7</f>
        <v>10842781.797684656</v>
      </c>
      <c r="D25" s="261">
        <f>IF(($A25&gt;0),C25*Traffic_related_data!W62,0)</f>
        <v>34842.287511855226</v>
      </c>
      <c r="E25" s="262">
        <f t="shared" si="2"/>
        <v>578381.97269679676</v>
      </c>
      <c r="F25" s="258">
        <f t="shared" si="0"/>
        <v>360187</v>
      </c>
      <c r="G25" s="259">
        <f t="shared" si="0"/>
        <v>470277</v>
      </c>
    </row>
    <row r="26" spans="1:7">
      <c r="A26" s="332">
        <f>IF((B26&gt;(Inputs!$B$7+Inputs!$B$8)),0,IF((B26&lt;Inputs!$B$7),0,((B26-Inputs!$B$7))))</f>
        <v>3</v>
      </c>
      <c r="B26" s="255">
        <f t="shared" si="1"/>
        <v>2028</v>
      </c>
      <c r="C26" s="260">
        <f>Traffic_related_data!$D55*$C$6*$C$7</f>
        <v>10969445.669116398</v>
      </c>
      <c r="D26" s="261">
        <f>IF(($A26&gt;0),C26*Traffic_related_data!W63,0)</f>
        <v>36027.13423448844</v>
      </c>
      <c r="E26" s="262">
        <f>D26*$C$5</f>
        <v>598050.42829250812</v>
      </c>
      <c r="F26" s="258">
        <f t="shared" si="0"/>
        <v>348071</v>
      </c>
      <c r="G26" s="259">
        <f t="shared" si="0"/>
        <v>472107</v>
      </c>
    </row>
    <row r="27" spans="1:7">
      <c r="A27" s="332">
        <f>IF((B27&gt;(Inputs!$B$7+Inputs!$B$8)),0,IF((B27&lt;Inputs!$B$7),0,((B27-Inputs!$B$7))))</f>
        <v>4</v>
      </c>
      <c r="B27" s="255">
        <f t="shared" si="1"/>
        <v>2029</v>
      </c>
      <c r="C27" s="260">
        <f>Traffic_related_data!$D56*$C$6*$C$7</f>
        <v>11097589.210306829</v>
      </c>
      <c r="D27" s="261">
        <f>IF(($A27&gt;0),C27*Traffic_related_data!W64,0)</f>
        <v>37217.518816574986</v>
      </c>
      <c r="E27" s="262">
        <f t="shared" si="2"/>
        <v>617810.81235514476</v>
      </c>
      <c r="F27" s="258">
        <f t="shared" si="0"/>
        <v>336048</v>
      </c>
      <c r="G27" s="259">
        <f t="shared" si="0"/>
        <v>473501</v>
      </c>
    </row>
    <row r="28" spans="1:7">
      <c r="A28" s="332">
        <f>IF((B28&gt;(Inputs!$B$7+Inputs!$B$8)),0,IF((B28&lt;Inputs!$B$7),0,((B28-Inputs!$B$7))))</f>
        <v>5</v>
      </c>
      <c r="B28" s="255">
        <f t="shared" si="1"/>
        <v>2030</v>
      </c>
      <c r="C28" s="260">
        <f>Traffic_related_data!$D57*$C$6*$C$7</f>
        <v>11227229.706552615</v>
      </c>
      <c r="D28" s="261">
        <f>IF(($A28&gt;0),C28*Traffic_related_data!W65,0)</f>
        <v>38413.782590005387</v>
      </c>
      <c r="E28" s="262">
        <f t="shared" si="2"/>
        <v>637668.79099408945</v>
      </c>
      <c r="F28" s="258">
        <f t="shared" si="0"/>
        <v>324158</v>
      </c>
      <c r="G28" s="259">
        <f t="shared" si="0"/>
        <v>474485</v>
      </c>
    </row>
    <row r="29" spans="1:7">
      <c r="A29" s="332">
        <f>IF((B29&gt;(Inputs!$B$7+Inputs!$B$8)),0,IF((B29&lt;Inputs!$B$7),0,((B29-Inputs!$B$7))))</f>
        <v>6</v>
      </c>
      <c r="B29" s="255">
        <f t="shared" si="1"/>
        <v>2031</v>
      </c>
      <c r="C29" s="260">
        <f>Traffic_related_data!$D58*$C$6*$C$7</f>
        <v>11358384.645074859</v>
      </c>
      <c r="D29" s="261">
        <f>IF(($A29&gt;0),C29*Traffic_related_data!W66,0)</f>
        <v>40528.677453729768</v>
      </c>
      <c r="E29" s="262">
        <f t="shared" si="2"/>
        <v>672776.04573191423</v>
      </c>
      <c r="F29" s="258">
        <f t="shared" si="0"/>
        <v>319631</v>
      </c>
      <c r="G29" s="259">
        <f t="shared" si="0"/>
        <v>486028</v>
      </c>
    </row>
    <row r="30" spans="1:7">
      <c r="A30" s="332">
        <f>IF((B30&gt;(Inputs!$B$7+Inputs!$B$8)),0,IF((B30&lt;Inputs!$B$7),0,((B30-Inputs!$B$7))))</f>
        <v>7</v>
      </c>
      <c r="B30" s="255">
        <f t="shared" si="1"/>
        <v>2032</v>
      </c>
      <c r="C30" s="260">
        <f>Traffic_related_data!$D59*$C$6*$C$7</f>
        <v>11491071.717377951</v>
      </c>
      <c r="D30" s="261">
        <f>IF(($A30&gt;0),C30*Traffic_related_data!W67,0)</f>
        <v>42636.617117131165</v>
      </c>
      <c r="E30" s="262">
        <f t="shared" si="2"/>
        <v>707767.84414437739</v>
      </c>
      <c r="F30" s="258">
        <f t="shared" si="0"/>
        <v>314257</v>
      </c>
      <c r="G30" s="259">
        <f t="shared" si="0"/>
        <v>496414</v>
      </c>
    </row>
    <row r="31" spans="1:7">
      <c r="A31" s="332">
        <f>IF((B31&gt;(Inputs!$B$7+Inputs!$B$8)),0,IF((B31&lt;Inputs!$B$7),0,((B31-Inputs!$B$7))))</f>
        <v>8</v>
      </c>
      <c r="B31" s="255">
        <f t="shared" si="1"/>
        <v>2033</v>
      </c>
      <c r="C31" s="260">
        <f>Traffic_related_data!$D60*$C$6*$C$7</f>
        <v>11625308.821635986</v>
      </c>
      <c r="D31" s="261">
        <f>IF(($A31&gt;0),C31*Traffic_related_data!W68,0)</f>
        <v>44738.868168859706</v>
      </c>
      <c r="E31" s="262">
        <f t="shared" si="2"/>
        <v>742665.21160307119</v>
      </c>
      <c r="F31" s="258">
        <f t="shared" si="0"/>
        <v>308180</v>
      </c>
      <c r="G31" s="259">
        <f t="shared" si="0"/>
        <v>505719</v>
      </c>
    </row>
    <row r="32" spans="1:7">
      <c r="A32" s="332">
        <f>IF((B32&gt;(Inputs!$B$7+Inputs!$B$8)),0,IF((B32&lt;Inputs!$B$7),0,((B32-Inputs!$B$7))))</f>
        <v>9</v>
      </c>
      <c r="B32" s="255">
        <f t="shared" si="1"/>
        <v>2034</v>
      </c>
      <c r="C32" s="260">
        <f>Traffic_related_data!$D61*$C$6*$C$7</f>
        <v>11761114.065107033</v>
      </c>
      <c r="D32" s="261">
        <f>IF(($A32&gt;0),C32*Traffic_related_data!W69,0)</f>
        <v>46836.637304148448</v>
      </c>
      <c r="E32" s="262">
        <f t="shared" si="2"/>
        <v>777488.1792488643</v>
      </c>
      <c r="F32" s="258">
        <f t="shared" si="0"/>
        <v>301523</v>
      </c>
      <c r="G32" s="259">
        <f t="shared" si="0"/>
        <v>514011</v>
      </c>
    </row>
    <row r="33" spans="1:7">
      <c r="A33" s="332">
        <f>IF((B33&gt;(Inputs!$B$7+Inputs!$B$8)),0,IF((B33&lt;Inputs!$B$7),0,((B33-Inputs!$B$7))))</f>
        <v>10</v>
      </c>
      <c r="B33" s="255">
        <f t="shared" si="1"/>
        <v>2035</v>
      </c>
      <c r="C33" s="260">
        <f>Traffic_related_data!$D62*$C$6*$C$7</f>
        <v>11898505.766575644</v>
      </c>
      <c r="D33" s="261">
        <f>IF(($A33&gt;0),C33*Traffic_related_data!W70,0)</f>
        <v>48931.075855286217</v>
      </c>
      <c r="E33" s="262">
        <f t="shared" si="2"/>
        <v>812255.85919775127</v>
      </c>
      <c r="F33" s="258">
        <f t="shared" si="0"/>
        <v>294399</v>
      </c>
      <c r="G33" s="259">
        <f t="shared" si="0"/>
        <v>521356</v>
      </c>
    </row>
    <row r="34" spans="1:7">
      <c r="A34" s="332">
        <f>IF((B34&gt;(Inputs!$B$7+Inputs!$B$8)),0,IF((B34&lt;Inputs!$B$7),0,((B34-Inputs!$B$7))))</f>
        <v>11</v>
      </c>
      <c r="B34" s="255">
        <f t="shared" si="1"/>
        <v>2036</v>
      </c>
      <c r="C34" s="260">
        <f>Traffic_related_data!$D63*$C$6*$C$7</f>
        <v>12037502.458823867</v>
      </c>
      <c r="D34" s="261">
        <f>IF(($A34&gt;0),C34*Traffic_related_data!W71,0)</f>
        <v>51600.292621735483</v>
      </c>
      <c r="E34" s="262">
        <f t="shared" si="2"/>
        <v>856564.85752080905</v>
      </c>
      <c r="F34" s="258">
        <f t="shared" si="0"/>
        <v>290148</v>
      </c>
      <c r="G34" s="259">
        <f t="shared" si="0"/>
        <v>533783</v>
      </c>
    </row>
    <row r="35" spans="1:7">
      <c r="A35" s="332">
        <f>IF((B35&gt;(Inputs!$B$7+Inputs!$B$8)),0,IF((B35&lt;Inputs!$B$7),0,((B35-Inputs!$B$7))))</f>
        <v>12</v>
      </c>
      <c r="B35" s="255">
        <f t="shared" si="1"/>
        <v>2037</v>
      </c>
      <c r="C35" s="260">
        <f>Traffic_related_data!$D64*$C$6*$C$7</f>
        <v>12178122.891131133</v>
      </c>
      <c r="D35" s="261">
        <f>IF(($A35&gt;0),C35*Traffic_related_data!W72,0)</f>
        <v>54277.291557586977</v>
      </c>
      <c r="E35" s="262">
        <f t="shared" si="2"/>
        <v>901003.03985594388</v>
      </c>
      <c r="F35" s="258">
        <f t="shared" si="0"/>
        <v>285234</v>
      </c>
      <c r="G35" s="259">
        <f t="shared" si="0"/>
        <v>545122</v>
      </c>
    </row>
    <row r="36" spans="1:7">
      <c r="A36" s="332">
        <f>IF((B36&gt;(Inputs!$B$7+Inputs!$B$8)),0,IF((B36&lt;Inputs!$B$7),0,((B36-Inputs!$B$7))))</f>
        <v>13</v>
      </c>
      <c r="B36" s="255">
        <f t="shared" si="1"/>
        <v>2038</v>
      </c>
      <c r="C36" s="260">
        <f>Traffic_related_data!$D65*$C$6*$C$7</f>
        <v>12320386.031803355</v>
      </c>
      <c r="D36" s="261">
        <f>IF(($A36&gt;0),C36*Traffic_related_data!W73,0)</f>
        <v>56962.953243127318</v>
      </c>
      <c r="E36" s="262">
        <f t="shared" si="2"/>
        <v>945585.02383591351</v>
      </c>
      <c r="F36" s="258">
        <f t="shared" ref="F36:G58" si="3">ROUND($E36/((1+F$14)^($B36-$C$11)),0)</f>
        <v>279764</v>
      </c>
      <c r="G36" s="259">
        <f t="shared" si="3"/>
        <v>555432</v>
      </c>
    </row>
    <row r="37" spans="1:7">
      <c r="A37" s="332">
        <f>IF((B37&gt;(Inputs!$B$7+Inputs!$B$8)),0,IF((B37&lt;Inputs!$B$7),0,((B37-Inputs!$B$7))))</f>
        <v>14</v>
      </c>
      <c r="B37" s="255">
        <f t="shared" ref="B37:B38" si="4">B36+1</f>
        <v>2039</v>
      </c>
      <c r="C37" s="260">
        <f>Traffic_related_data!$D66*$C$6*$C$7</f>
        <v>12464311.070731558</v>
      </c>
      <c r="D37" s="261">
        <f>IF(($A37&gt;0),C37*Traffic_related_data!W74,0)</f>
        <v>59658.136669992957</v>
      </c>
      <c r="E37" s="263">
        <f t="shared" si="2"/>
        <v>990325.06872188312</v>
      </c>
      <c r="F37" s="264">
        <f t="shared" si="3"/>
        <v>273833</v>
      </c>
      <c r="G37" s="265">
        <f t="shared" si="3"/>
        <v>564769</v>
      </c>
    </row>
    <row r="38" spans="1:7">
      <c r="A38" s="332">
        <f>IF((B38&gt;(Inputs!$B$7+Inputs!$B$8)),0,IF((B38&lt;Inputs!$B$7),0,((B38-Inputs!$B$7))))</f>
        <v>15</v>
      </c>
      <c r="B38" s="255">
        <f t="shared" si="4"/>
        <v>2040</v>
      </c>
      <c r="C38" s="260">
        <f>Traffic_related_data!$D67*$C$6*$C$7</f>
        <v>12609917.421980416</v>
      </c>
      <c r="D38" s="261">
        <f>IF(($A38&gt;0),C38*Traffic_related_data!W75,0)</f>
        <v>62363.680666683504</v>
      </c>
      <c r="E38" s="262">
        <f t="shared" si="2"/>
        <v>1035237.0990669463</v>
      </c>
      <c r="F38" s="258">
        <f t="shared" si="3"/>
        <v>267525</v>
      </c>
      <c r="G38" s="259">
        <f t="shared" si="3"/>
        <v>573186</v>
      </c>
    </row>
    <row r="39" spans="1:7">
      <c r="A39" s="332">
        <f>IF((B39&gt;(Inputs!$B$7+Inputs!$B$8)),0,IF((B39&lt;Inputs!$B$7),0,((B39-Inputs!$B$7))))</f>
        <v>16</v>
      </c>
      <c r="B39" s="255">
        <f t="shared" ref="B39:B58" si="5">B38+1</f>
        <v>2041</v>
      </c>
      <c r="C39" s="260">
        <f>Traffic_related_data!$D68*$C$6*$C$7</f>
        <v>12757224.726407006</v>
      </c>
      <c r="D39" s="261">
        <f>IF(($A39&gt;0),C39*Traffic_related_data!W76,0)</f>
        <v>66377.954986382028</v>
      </c>
      <c r="E39" s="262">
        <f t="shared" si="2"/>
        <v>1101874.0527739418</v>
      </c>
      <c r="F39" s="258">
        <f t="shared" si="3"/>
        <v>266117</v>
      </c>
      <c r="G39" s="259">
        <f t="shared" si="3"/>
        <v>592312</v>
      </c>
    </row>
    <row r="40" spans="1:7">
      <c r="A40" s="332">
        <f>IF((B40&gt;(Inputs!$B$7+Inputs!$B$8)),0,IF((B40&lt;Inputs!$B$7),0,((B40-Inputs!$B$7))))</f>
        <v>17</v>
      </c>
      <c r="B40" s="255">
        <f t="shared" si="5"/>
        <v>2042</v>
      </c>
      <c r="C40" s="260">
        <f>Traffic_related_data!$D69*$C$6*$C$7</f>
        <v>12906252.854310174</v>
      </c>
      <c r="D40" s="261">
        <f>IF(($A40&gt;0),C40*Traffic_related_data!W77,0)</f>
        <v>70400.452206732341</v>
      </c>
      <c r="E40" s="262">
        <f t="shared" si="2"/>
        <v>1168647.5066317569</v>
      </c>
      <c r="F40" s="258">
        <f t="shared" si="3"/>
        <v>263779</v>
      </c>
      <c r="G40" s="259">
        <f t="shared" si="3"/>
        <v>609908</v>
      </c>
    </row>
    <row r="41" spans="1:7" s="64" customFormat="1">
      <c r="A41" s="332">
        <f>IF((B41&gt;(Inputs!$B$7+Inputs!$B$8)),0,IF((B41&lt;Inputs!$B$7),0,((B41-Inputs!$B$7))))</f>
        <v>18</v>
      </c>
      <c r="B41" s="255">
        <f t="shared" si="5"/>
        <v>2043</v>
      </c>
      <c r="C41" s="260">
        <f>Traffic_related_data!$D70*$C$6*$C$7</f>
        <v>13057021.908110833</v>
      </c>
      <c r="D41" s="261">
        <f>IF(($A41&gt;0),C41*Traffic_related_data!W78,0)</f>
        <v>74432.595725559731</v>
      </c>
      <c r="E41" s="262">
        <f t="shared" si="2"/>
        <v>1235581.0890442918</v>
      </c>
      <c r="F41" s="258">
        <f t="shared" si="3"/>
        <v>260642</v>
      </c>
      <c r="G41" s="259">
        <f t="shared" si="3"/>
        <v>626059</v>
      </c>
    </row>
    <row r="42" spans="1:7" s="64" customFormat="1">
      <c r="A42" s="332">
        <f>IF((B42&gt;(Inputs!$B$7+Inputs!$B$8)),0,IF((B42&lt;Inputs!$B$7),0,((B42-Inputs!$B$7))))</f>
        <v>19</v>
      </c>
      <c r="B42" s="255">
        <f t="shared" si="5"/>
        <v>2044</v>
      </c>
      <c r="C42" s="260">
        <f>Traffic_related_data!$D71*$C$6*$C$7</f>
        <v>13209552.225063588</v>
      </c>
      <c r="D42" s="261">
        <f>IF(($A42&gt;0),C42*Traffic_related_data!W79,0)</f>
        <v>78475.770363223972</v>
      </c>
      <c r="E42" s="262">
        <f t="shared" si="2"/>
        <v>1302697.788029518</v>
      </c>
      <c r="F42" s="258">
        <f t="shared" si="3"/>
        <v>256822</v>
      </c>
      <c r="G42" s="259">
        <f t="shared" si="3"/>
        <v>640841</v>
      </c>
    </row>
    <row r="43" spans="1:7" s="64" customFormat="1">
      <c r="A43" s="332">
        <f>IF((B43&gt;(Inputs!$B$7+Inputs!$B$8)),0,IF((B43&lt;Inputs!$B$7),0,((B43-Inputs!$B$7))))</f>
        <v>20</v>
      </c>
      <c r="B43" s="255">
        <f t="shared" si="5"/>
        <v>2045</v>
      </c>
      <c r="C43" s="260">
        <f>Traffic_related_data!$D72*$C$6*$C$7</f>
        <v>13363864.380000029</v>
      </c>
      <c r="D43" s="261">
        <f>IF(($A43&gt;0),C43*Traffic_related_data!W80,0)</f>
        <v>82531.324893030644</v>
      </c>
      <c r="E43" s="262">
        <f t="shared" si="2"/>
        <v>1370019.9932243088</v>
      </c>
      <c r="F43" s="258">
        <f t="shared" si="3"/>
        <v>252425</v>
      </c>
      <c r="G43" s="259">
        <f t="shared" si="3"/>
        <v>654329</v>
      </c>
    </row>
    <row r="44" spans="1:7" s="64" customFormat="1">
      <c r="A44" s="332">
        <f>IF((B44&gt;(Inputs!$B$7+Inputs!$B$8)),0,IF((B44&lt;Inputs!$B$7),0,((B44-Inputs!$B$7))))</f>
        <v>21</v>
      </c>
      <c r="B44" s="255">
        <f t="shared" si="5"/>
        <v>2046</v>
      </c>
      <c r="C44" s="260">
        <f>Traffic_related_data!$D73*$C$6*$C$7</f>
        <v>13363864.379999999</v>
      </c>
      <c r="D44" s="261">
        <f>IF(($A44&gt;0),C44*Traffic_related_data!W81,0)</f>
        <v>82531.324893030469</v>
      </c>
      <c r="E44" s="262">
        <f t="shared" si="2"/>
        <v>1370019.9932243058</v>
      </c>
      <c r="F44" s="258">
        <f t="shared" si="3"/>
        <v>235911</v>
      </c>
      <c r="G44" s="259">
        <f t="shared" si="3"/>
        <v>635271</v>
      </c>
    </row>
    <row r="45" spans="1:7" s="64" customFormat="1">
      <c r="A45" s="332">
        <f>IF((B45&gt;(Inputs!$B$7+Inputs!$B$8)),0,IF((B45&lt;Inputs!$B$7),0,((B45-Inputs!$B$7))))</f>
        <v>22</v>
      </c>
      <c r="B45" s="255">
        <f t="shared" si="5"/>
        <v>2047</v>
      </c>
      <c r="C45" s="260">
        <f>Traffic_related_data!$D74*$C$6*$C$7</f>
        <v>13363864.379999999</v>
      </c>
      <c r="D45" s="261">
        <f>IF(($A45&gt;0),C45*Traffic_related_data!W82,0)</f>
        <v>82531.324893030469</v>
      </c>
      <c r="E45" s="262">
        <f t="shared" si="2"/>
        <v>1370019.9932243058</v>
      </c>
      <c r="F45" s="258">
        <f t="shared" si="3"/>
        <v>220478</v>
      </c>
      <c r="G45" s="259">
        <f t="shared" si="3"/>
        <v>616768</v>
      </c>
    </row>
    <row r="46" spans="1:7" s="64" customFormat="1">
      <c r="A46" s="332">
        <f>IF((B46&gt;(Inputs!$B$7+Inputs!$B$8)),0,IF((B46&lt;Inputs!$B$7),0,((B46-Inputs!$B$7))))</f>
        <v>23</v>
      </c>
      <c r="B46" s="255">
        <f t="shared" si="5"/>
        <v>2048</v>
      </c>
      <c r="C46" s="260">
        <f>Traffic_related_data!$D75*$C$6*$C$7</f>
        <v>13363864.379999999</v>
      </c>
      <c r="D46" s="261">
        <f>IF(($A46&gt;0),C46*Traffic_related_data!W83,0)</f>
        <v>82531.324893030469</v>
      </c>
      <c r="E46" s="262">
        <f t="shared" si="2"/>
        <v>1370019.9932243058</v>
      </c>
      <c r="F46" s="258">
        <f t="shared" si="3"/>
        <v>206054</v>
      </c>
      <c r="G46" s="259">
        <f t="shared" si="3"/>
        <v>598804</v>
      </c>
    </row>
    <row r="47" spans="1:7" s="64" customFormat="1">
      <c r="A47" s="332">
        <f>IF((B47&gt;(Inputs!$B$7+Inputs!$B$8)),0,IF((B47&lt;Inputs!$B$7),0,((B47-Inputs!$B$7))))</f>
        <v>24</v>
      </c>
      <c r="B47" s="255">
        <f t="shared" si="5"/>
        <v>2049</v>
      </c>
      <c r="C47" s="260">
        <f>Traffic_related_data!$D76*$C$6*$C$7</f>
        <v>13363864.379999999</v>
      </c>
      <c r="D47" s="261">
        <f>IF(($A47&gt;0),C47*Traffic_related_data!W84,0)</f>
        <v>82531.324893030469</v>
      </c>
      <c r="E47" s="262">
        <f t="shared" si="2"/>
        <v>1370019.9932243058</v>
      </c>
      <c r="F47" s="258">
        <f t="shared" si="3"/>
        <v>192574</v>
      </c>
      <c r="G47" s="259">
        <f t="shared" si="3"/>
        <v>581363</v>
      </c>
    </row>
    <row r="48" spans="1:7" s="64" customFormat="1">
      <c r="A48" s="332">
        <f>IF((B48&gt;(Inputs!$B$7+Inputs!$B$8)),0,IF((B48&lt;Inputs!$B$7),0,((B48-Inputs!$B$7))))</f>
        <v>25</v>
      </c>
      <c r="B48" s="255">
        <f t="shared" si="5"/>
        <v>2050</v>
      </c>
      <c r="C48" s="260">
        <f>Traffic_related_data!$D77*$C$6*$C$7</f>
        <v>13363864.379999999</v>
      </c>
      <c r="D48" s="261">
        <f>IF(($A48&gt;0),C48*Traffic_related_data!W85,0)</f>
        <v>82531.324893030469</v>
      </c>
      <c r="E48" s="262">
        <f t="shared" si="2"/>
        <v>1370019.9932243058</v>
      </c>
      <c r="F48" s="258">
        <f t="shared" si="3"/>
        <v>179976</v>
      </c>
      <c r="G48" s="259">
        <f t="shared" si="3"/>
        <v>564430</v>
      </c>
    </row>
    <row r="49" spans="1:7" s="64" customFormat="1">
      <c r="A49" s="332">
        <f>IF((B49&gt;(Inputs!$B$7+Inputs!$B$8)),0,IF((B49&lt;Inputs!$B$7),0,((B49-Inputs!$B$7))))</f>
        <v>26</v>
      </c>
      <c r="B49" s="255">
        <f t="shared" si="5"/>
        <v>2051</v>
      </c>
      <c r="C49" s="260">
        <f>Traffic_related_data!$D78*$C$6*$C$7</f>
        <v>13363864.379999999</v>
      </c>
      <c r="D49" s="261">
        <f>IF(($A49&gt;0),C49*Traffic_related_data!W86,0)</f>
        <v>82531.324893030469</v>
      </c>
      <c r="E49" s="262">
        <f t="shared" si="2"/>
        <v>1370019.9932243058</v>
      </c>
      <c r="F49" s="258">
        <f t="shared" si="3"/>
        <v>168201</v>
      </c>
      <c r="G49" s="259">
        <f t="shared" si="3"/>
        <v>547990</v>
      </c>
    </row>
    <row r="50" spans="1:7" s="64" customFormat="1">
      <c r="A50" s="332">
        <f>IF((B50&gt;(Inputs!$B$7+Inputs!$B$8)),0,IF((B50&lt;Inputs!$B$7),0,((B50-Inputs!$B$7))))</f>
        <v>27</v>
      </c>
      <c r="B50" s="255">
        <f t="shared" si="5"/>
        <v>2052</v>
      </c>
      <c r="C50" s="260">
        <f>Traffic_related_data!$D79*$C$6*$C$7</f>
        <v>13363864.379999999</v>
      </c>
      <c r="D50" s="261">
        <f>IF(($A50&gt;0),C50*Traffic_related_data!W87,0)</f>
        <v>82531.324893030469</v>
      </c>
      <c r="E50" s="262">
        <f t="shared" si="2"/>
        <v>1370019.9932243058</v>
      </c>
      <c r="F50" s="258">
        <f t="shared" si="3"/>
        <v>157198</v>
      </c>
      <c r="G50" s="259">
        <f t="shared" si="3"/>
        <v>532030</v>
      </c>
    </row>
    <row r="51" spans="1:7" s="64" customFormat="1">
      <c r="A51" s="332">
        <f>IF((B51&gt;(Inputs!$B$7+Inputs!$B$8)),0,IF((B51&lt;Inputs!$B$7),0,((B51-Inputs!$B$7))))</f>
        <v>28</v>
      </c>
      <c r="B51" s="255">
        <f t="shared" si="5"/>
        <v>2053</v>
      </c>
      <c r="C51" s="260">
        <f>Traffic_related_data!$D80*$C$6*$C$7</f>
        <v>13363864.379999999</v>
      </c>
      <c r="D51" s="261">
        <f>IF(($A51&gt;0),C51*Traffic_related_data!W88,0)</f>
        <v>82531.324893030469</v>
      </c>
      <c r="E51" s="262">
        <f t="shared" si="2"/>
        <v>1370019.9932243058</v>
      </c>
      <c r="F51" s="258">
        <f t="shared" si="3"/>
        <v>146914</v>
      </c>
      <c r="G51" s="259">
        <f t="shared" si="3"/>
        <v>516533</v>
      </c>
    </row>
    <row r="52" spans="1:7" s="64" customFormat="1">
      <c r="A52" s="332">
        <f>IF((B52&gt;(Inputs!$B$7+Inputs!$B$8)),0,IF((B52&lt;Inputs!$B$7),0,((B52-Inputs!$B$7))))</f>
        <v>29</v>
      </c>
      <c r="B52" s="255">
        <f t="shared" si="5"/>
        <v>2054</v>
      </c>
      <c r="C52" s="260">
        <f>Traffic_related_data!$D81*$C$6*$C$7</f>
        <v>13363864.379999999</v>
      </c>
      <c r="D52" s="261">
        <f>IF(($A52&gt;0),C52*Traffic_related_data!W89,0)</f>
        <v>82531.324893030469</v>
      </c>
      <c r="E52" s="262">
        <f t="shared" si="2"/>
        <v>1370019.9932243058</v>
      </c>
      <c r="F52" s="258">
        <f t="shared" si="3"/>
        <v>137303</v>
      </c>
      <c r="G52" s="259">
        <f t="shared" si="3"/>
        <v>501489</v>
      </c>
    </row>
    <row r="53" spans="1:7" s="64" customFormat="1">
      <c r="A53" s="332">
        <f>IF((B53&gt;(Inputs!$B$7+Inputs!$B$8)),0,IF((B53&lt;Inputs!$B$7),0,((B53-Inputs!$B$7))))</f>
        <v>30</v>
      </c>
      <c r="B53" s="255">
        <f t="shared" si="5"/>
        <v>2055</v>
      </c>
      <c r="C53" s="260">
        <f>Traffic_related_data!$D82*$C$6*$C$7</f>
        <v>13363864.379999999</v>
      </c>
      <c r="D53" s="261">
        <f>IF(($A53&gt;0),C53*Traffic_related_data!W90,0)</f>
        <v>82531.324893030469</v>
      </c>
      <c r="E53" s="262">
        <f t="shared" si="2"/>
        <v>1370019.9932243058</v>
      </c>
      <c r="F53" s="258">
        <f t="shared" si="3"/>
        <v>128320</v>
      </c>
      <c r="G53" s="259">
        <f t="shared" si="3"/>
        <v>486882</v>
      </c>
    </row>
    <row r="54" spans="1:7" s="64" customFormat="1">
      <c r="A54" s="332">
        <f>IF((B54&gt;(Inputs!$B$7+Inputs!$B$8)),0,IF((B54&lt;Inputs!$B$7),0,((B54-Inputs!$B$7))))</f>
        <v>0</v>
      </c>
      <c r="B54" s="255">
        <f t="shared" si="5"/>
        <v>2056</v>
      </c>
      <c r="C54" s="260">
        <f>Traffic_related_data!$D83*$C$6*$C$7</f>
        <v>13363864.379999999</v>
      </c>
      <c r="D54" s="261">
        <f>IF(($A54&gt;0),C54*Traffic_related_data!W91,0)</f>
        <v>0</v>
      </c>
      <c r="E54" s="262">
        <f t="shared" si="2"/>
        <v>0</v>
      </c>
      <c r="F54" s="258">
        <f t="shared" si="3"/>
        <v>0</v>
      </c>
      <c r="G54" s="259">
        <f t="shared" si="3"/>
        <v>0</v>
      </c>
    </row>
    <row r="55" spans="1:7" s="64" customFormat="1">
      <c r="A55" s="332">
        <f>IF((B55&gt;(Inputs!$B$7+Inputs!$B$8)),0,IF((B55&lt;Inputs!$B$7),0,((B55-Inputs!$B$7))))</f>
        <v>0</v>
      </c>
      <c r="B55" s="255">
        <f t="shared" si="5"/>
        <v>2057</v>
      </c>
      <c r="C55" s="260">
        <f>Traffic_related_data!$D84*$C$6*$C$7</f>
        <v>13363864.379999999</v>
      </c>
      <c r="D55" s="261">
        <f>IF(($A55&gt;0),C55*Traffic_related_data!W92,0)</f>
        <v>0</v>
      </c>
      <c r="E55" s="262">
        <f t="shared" si="2"/>
        <v>0</v>
      </c>
      <c r="F55" s="258">
        <f t="shared" si="3"/>
        <v>0</v>
      </c>
      <c r="G55" s="259">
        <f t="shared" si="3"/>
        <v>0</v>
      </c>
    </row>
    <row r="56" spans="1:7" s="64" customFormat="1">
      <c r="A56" s="332">
        <f>IF((B56&gt;(Inputs!$B$7+Inputs!$B$8)),0,IF((B56&lt;Inputs!$B$7),0,((B56-Inputs!$B$7))))</f>
        <v>0</v>
      </c>
      <c r="B56" s="255">
        <f t="shared" si="5"/>
        <v>2058</v>
      </c>
      <c r="C56" s="260">
        <f>Traffic_related_data!$D85*$C$6*$C$7</f>
        <v>13363864.379999999</v>
      </c>
      <c r="D56" s="261">
        <f>IF(($A56&gt;0),C56*Traffic_related_data!W93,0)</f>
        <v>0</v>
      </c>
      <c r="E56" s="262">
        <f t="shared" si="2"/>
        <v>0</v>
      </c>
      <c r="F56" s="258">
        <f t="shared" si="3"/>
        <v>0</v>
      </c>
      <c r="G56" s="259">
        <f t="shared" si="3"/>
        <v>0</v>
      </c>
    </row>
    <row r="57" spans="1:7" s="64" customFormat="1">
      <c r="A57" s="332">
        <f>IF((B57&gt;(Inputs!$B$7+Inputs!$B$8)),0,IF((B57&lt;Inputs!$B$7),0,((B57-Inputs!$B$7))))</f>
        <v>0</v>
      </c>
      <c r="B57" s="255">
        <f t="shared" si="5"/>
        <v>2059</v>
      </c>
      <c r="C57" s="260">
        <f>Traffic_related_data!$D86*$C$6*$C$7</f>
        <v>13363864.379999999</v>
      </c>
      <c r="D57" s="261">
        <f>IF(($A57&gt;0),C57*Traffic_related_data!W94,0)</f>
        <v>0</v>
      </c>
      <c r="E57" s="262">
        <f t="shared" si="2"/>
        <v>0</v>
      </c>
      <c r="F57" s="258">
        <f t="shared" si="3"/>
        <v>0</v>
      </c>
      <c r="G57" s="259">
        <f t="shared" si="3"/>
        <v>0</v>
      </c>
    </row>
    <row r="58" spans="1:7" s="64" customFormat="1" ht="15.75" thickBot="1">
      <c r="A58" s="332">
        <f>IF((B58&gt;(Inputs!$B$7+Inputs!$B$8)),0,IF((B58&lt;Inputs!$B$7),0,((B58-Inputs!$B$7))))</f>
        <v>0</v>
      </c>
      <c r="B58" s="255">
        <f t="shared" si="5"/>
        <v>2060</v>
      </c>
      <c r="C58" s="266">
        <f>Traffic_related_data!$D87*$C$6*$C$7</f>
        <v>13363864.379999999</v>
      </c>
      <c r="D58" s="267">
        <f>IF(($A58&gt;0),C58*Traffic_related_data!W95,0)</f>
        <v>0</v>
      </c>
      <c r="E58" s="268">
        <f t="shared" si="2"/>
        <v>0</v>
      </c>
      <c r="F58" s="269">
        <f t="shared" si="3"/>
        <v>0</v>
      </c>
      <c r="G58" s="270">
        <f t="shared" si="3"/>
        <v>0</v>
      </c>
    </row>
    <row r="59" spans="1:7">
      <c r="C59" s="64"/>
      <c r="D59" s="64"/>
      <c r="E59" s="64"/>
      <c r="F59" s="64"/>
      <c r="G59" s="64"/>
    </row>
    <row r="60" spans="1:7">
      <c r="C60" s="64"/>
      <c r="D60" s="64"/>
      <c r="E60" s="64"/>
      <c r="F60" s="135">
        <f>SUM(F21:F58)</f>
        <v>7748024</v>
      </c>
      <c r="G60" s="135">
        <f>SUM(G21:G58)</f>
        <v>16359185</v>
      </c>
    </row>
  </sheetData>
  <mergeCells count="1">
    <mergeCell ref="D14:E1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6" tint="-0.249977111117893"/>
  </sheetPr>
  <dimension ref="A1:X81"/>
  <sheetViews>
    <sheetView zoomScale="92" zoomScaleNormal="92" workbookViewId="0"/>
  </sheetViews>
  <sheetFormatPr defaultRowHeight="15"/>
  <cols>
    <col min="1" max="1" width="11.85546875" customWidth="1"/>
    <col min="2" max="2" width="54.42578125" customWidth="1"/>
    <col min="3" max="4" width="17.7109375" style="64" bestFit="1" customWidth="1"/>
    <col min="5" max="5" width="17.5703125" style="64" customWidth="1"/>
    <col min="6" max="6" width="14.5703125" style="64" customWidth="1"/>
    <col min="7" max="7" width="14.7109375" style="64" customWidth="1"/>
    <col min="8" max="9" width="17.7109375" style="64" bestFit="1" customWidth="1"/>
    <col min="10" max="10" width="17.5703125" style="64" customWidth="1"/>
    <col min="11" max="11" width="14.5703125" style="64" customWidth="1"/>
    <col min="12" max="12" width="14.7109375" style="64" customWidth="1"/>
    <col min="13" max="14" width="17.7109375" style="64" bestFit="1" customWidth="1"/>
    <col min="15" max="15" width="17.5703125" style="64" customWidth="1"/>
    <col min="16" max="16" width="14.5703125" style="64" customWidth="1"/>
    <col min="17" max="17" width="14.7109375" style="64" customWidth="1"/>
    <col min="18" max="19" width="17.7109375" style="64" bestFit="1" customWidth="1"/>
    <col min="20" max="20" width="17.5703125" style="64" customWidth="1"/>
    <col min="21" max="21" width="14.5703125" style="64" customWidth="1"/>
    <col min="22" max="22" width="14.7109375" style="64" customWidth="1"/>
    <col min="23" max="24" width="17.7109375" bestFit="1" customWidth="1"/>
    <col min="25" max="25" width="17.5703125" customWidth="1"/>
    <col min="26" max="26" width="14.5703125" customWidth="1"/>
    <col min="27" max="27" width="14.7109375" customWidth="1"/>
    <col min="28" max="29" width="17.7109375" bestFit="1" customWidth="1"/>
    <col min="30" max="30" width="17.5703125" customWidth="1"/>
    <col min="31" max="31" width="14.5703125" customWidth="1"/>
    <col min="32" max="32" width="14.7109375" customWidth="1"/>
    <col min="33" max="34" width="17.7109375" bestFit="1" customWidth="1"/>
    <col min="35" max="35" width="17.5703125" customWidth="1"/>
    <col min="36" max="36" width="14.5703125" customWidth="1"/>
    <col min="37" max="37" width="14.7109375" customWidth="1"/>
    <col min="38" max="39" width="17.7109375" bestFit="1" customWidth="1"/>
    <col min="40" max="40" width="17.5703125" customWidth="1"/>
    <col min="41" max="41" width="14.5703125" customWidth="1"/>
    <col min="42" max="42" width="14.7109375" customWidth="1"/>
    <col min="43" max="44" width="17.7109375" bestFit="1" customWidth="1"/>
    <col min="45" max="45" width="17.5703125" customWidth="1"/>
    <col min="46" max="46" width="14.5703125" customWidth="1"/>
    <col min="47" max="47" width="14.7109375" customWidth="1"/>
    <col min="48" max="49" width="17.7109375" bestFit="1" customWidth="1"/>
    <col min="50" max="50" width="17.5703125" customWidth="1"/>
    <col min="51" max="51" width="14.5703125" customWidth="1"/>
    <col min="52" max="52" width="14.7109375" customWidth="1"/>
    <col min="53" max="54" width="17.7109375" bestFit="1" customWidth="1"/>
    <col min="55" max="55" width="17.5703125" customWidth="1"/>
    <col min="56" max="56" width="14.5703125" customWidth="1"/>
    <col min="57" max="57" width="14.7109375" customWidth="1"/>
    <col min="58" max="59" width="17.7109375" bestFit="1" customWidth="1"/>
    <col min="60" max="60" width="17.5703125" customWidth="1"/>
    <col min="61" max="61" width="14.5703125" customWidth="1"/>
    <col min="62" max="62" width="14.7109375" customWidth="1"/>
    <col min="63" max="64" width="17.7109375" bestFit="1" customWidth="1"/>
    <col min="65" max="65" width="17.5703125" customWidth="1"/>
    <col min="66" max="66" width="14.5703125" customWidth="1"/>
    <col min="67" max="67" width="14.7109375" customWidth="1"/>
  </cols>
  <sheetData>
    <row r="1" spans="1:22">
      <c r="A1" s="205"/>
      <c r="B1" s="16" t="s">
        <v>278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>
      <c r="B2" s="64" t="s">
        <v>489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>
      <c r="B3" s="8" t="s">
        <v>5</v>
      </c>
      <c r="C3" s="8"/>
      <c r="D3" s="8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>
      <c r="B4" s="9" t="s">
        <v>6</v>
      </c>
      <c r="C4" s="9" t="s">
        <v>7</v>
      </c>
      <c r="D4" s="9" t="s">
        <v>299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>
      <c r="B5" s="9" t="s">
        <v>8</v>
      </c>
      <c r="C5" s="10"/>
      <c r="D5" s="10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>
      <c r="B6" s="11" t="s">
        <v>9</v>
      </c>
      <c r="C6" s="12">
        <v>23.29</v>
      </c>
      <c r="D6" s="12">
        <f>C6*(Deflator!$C$85/Deflator!$C$81)</f>
        <v>24.746045660341004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>
      <c r="B7" s="11" t="s">
        <v>10</v>
      </c>
      <c r="C7" s="12">
        <v>8.59</v>
      </c>
      <c r="D7" s="12">
        <f>C7*(Deflator!$C$85/Deflator!$C$81)</f>
        <v>9.1270301512378378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>
      <c r="B8" s="11" t="s">
        <v>11</v>
      </c>
      <c r="C8" s="12">
        <v>6.31</v>
      </c>
      <c r="D8" s="12">
        <f>C8*(Deflator!$C$85/Deflator!$C$81)</f>
        <v>6.7044889702340802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>
      <c r="B9" s="11" t="s">
        <v>12</v>
      </c>
      <c r="C9" s="12">
        <v>2.89</v>
      </c>
      <c r="D9" s="12">
        <f>C9*(Deflator!$C$85/Deflator!$C$81)</f>
        <v>3.070677198728446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>
      <c r="B10" s="11" t="s">
        <v>13</v>
      </c>
      <c r="C10" s="12"/>
      <c r="D10" s="1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>
      <c r="B11" s="11" t="s">
        <v>14</v>
      </c>
      <c r="C11" s="12"/>
      <c r="D11" s="12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>
      <c r="B12" s="11" t="s">
        <v>15</v>
      </c>
      <c r="C12" s="12"/>
      <c r="D12" s="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>
      <c r="B13" s="9" t="s">
        <v>16</v>
      </c>
      <c r="C13" s="12"/>
      <c r="D13" s="12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>
      <c r="B14" s="11" t="s">
        <v>17</v>
      </c>
      <c r="C14" s="12">
        <v>5.15</v>
      </c>
      <c r="D14" s="12">
        <f>C14*(Deflator!$C$85/Deflator!$C$81)</f>
        <v>5.4719680184953274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>
      <c r="B15" s="9" t="s">
        <v>18</v>
      </c>
      <c r="C15" s="12">
        <f>SUM(C6:C14)</f>
        <v>46.23</v>
      </c>
      <c r="D15" s="12">
        <f>SUM(D6:D14)</f>
        <v>49.120209999036696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>
      <c r="B16" s="8" t="s">
        <v>19</v>
      </c>
      <c r="C16" s="8"/>
      <c r="D16" s="8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4">
      <c r="B17" s="8" t="s">
        <v>20</v>
      </c>
      <c r="C17" s="8"/>
      <c r="D17" s="8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4">
      <c r="B18" s="13" t="s">
        <v>21</v>
      </c>
      <c r="C18" s="8"/>
      <c r="D18" s="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4">
      <c r="B19" s="8"/>
      <c r="C19" s="8"/>
      <c r="D19" s="8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4">
      <c r="B20" s="11"/>
      <c r="C20" s="9" t="s">
        <v>444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4">
      <c r="B21" s="11" t="s">
        <v>22</v>
      </c>
      <c r="C21" s="12">
        <f>Inputs!B34</f>
        <v>29.5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4">
      <c r="B22" t="s">
        <v>94</v>
      </c>
      <c r="W22" s="14"/>
      <c r="X22" s="14"/>
    </row>
    <row r="23" spans="1:24">
      <c r="B23" s="15" t="s">
        <v>95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8"/>
      <c r="X23" s="8"/>
    </row>
    <row r="25" spans="1:24">
      <c r="B25" s="16" t="s">
        <v>23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8"/>
    </row>
    <row r="26" spans="1:24">
      <c r="B26" s="11" t="s">
        <v>24</v>
      </c>
      <c r="C26" s="12">
        <f>D15+C21</f>
        <v>78.620209999036689</v>
      </c>
      <c r="D26"/>
    </row>
    <row r="27" spans="1:24">
      <c r="C27"/>
      <c r="D27"/>
    </row>
    <row r="28" spans="1:24">
      <c r="B28" t="s">
        <v>2</v>
      </c>
      <c r="C28">
        <f>Auto_TT_Savings!C7</f>
        <v>300</v>
      </c>
      <c r="D28"/>
    </row>
    <row r="29" spans="1:24">
      <c r="B29" t="s">
        <v>25</v>
      </c>
      <c r="C29" s="209" t="str">
        <f>Auto_TT_Savings!C8</f>
        <v>see "Traffic Related Data" Tab for year-by-year TTS</v>
      </c>
      <c r="D29"/>
    </row>
    <row r="30" spans="1:24">
      <c r="B30" t="s">
        <v>4</v>
      </c>
      <c r="C30">
        <f>Inputs!B10</f>
        <v>2020</v>
      </c>
      <c r="D30"/>
    </row>
    <row r="32" spans="1:24" ht="15.75" thickBot="1">
      <c r="A32" s="332" t="s">
        <v>488</v>
      </c>
      <c r="B32" s="1"/>
      <c r="D32" s="674" t="s">
        <v>486</v>
      </c>
      <c r="E32" s="674"/>
      <c r="F32" s="2">
        <f>Inputs!$B$3</f>
        <v>7.0000000000000007E-2</v>
      </c>
      <c r="G32" s="2">
        <f>Inputs!$B$4</f>
        <v>0.03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38.25">
      <c r="A33" s="75" t="s">
        <v>147</v>
      </c>
      <c r="B33" s="254" t="s">
        <v>0</v>
      </c>
      <c r="C33" s="3" t="s">
        <v>356</v>
      </c>
      <c r="D33" s="35" t="s">
        <v>99</v>
      </c>
      <c r="E33" s="4" t="s">
        <v>100</v>
      </c>
      <c r="F33" s="5" t="s">
        <v>1</v>
      </c>
      <c r="G33" s="5" t="s">
        <v>1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>
      <c r="A34" s="332">
        <f>IF((B34&gt;(Inputs!$B$7+Inputs!$B$8)),0,IF((B34&lt;Inputs!$B$7),0,((B34-Inputs!$B$7))))</f>
        <v>0</v>
      </c>
      <c r="B34" s="255">
        <v>2018</v>
      </c>
      <c r="C34" s="256"/>
      <c r="D34" s="34"/>
      <c r="E34" s="139"/>
      <c r="F34" s="258">
        <f t="shared" ref="F34:G53" si="0">ROUND($E34/((1+F$32)^($B34-$C$30)),0)</f>
        <v>0</v>
      </c>
      <c r="G34" s="259">
        <f t="shared" si="0"/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>
      <c r="A35" s="332">
        <f>IF((B35&gt;(Inputs!$B$7+Inputs!$B$8)),0,IF((B35&lt;Inputs!$B$7),0,((B35-Inputs!$B$7))))</f>
        <v>0</v>
      </c>
      <c r="B35" s="255">
        <f>B34+1</f>
        <v>2019</v>
      </c>
      <c r="C35" s="260">
        <f>Traffic_related_data!E46*$C$28</f>
        <v>338395.50000000006</v>
      </c>
      <c r="D35" s="261">
        <f>IF(($A35&gt;0),(C35*Traffic_related_data!X54),0)</f>
        <v>0</v>
      </c>
      <c r="E35" s="139">
        <f t="shared" ref="E35:E76" si="1">D35*$C$26</f>
        <v>0</v>
      </c>
      <c r="F35" s="258">
        <f t="shared" si="0"/>
        <v>0</v>
      </c>
      <c r="G35" s="259">
        <f t="shared" si="0"/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>
      <c r="A36" s="332">
        <f>IF((B36&gt;(Inputs!$B$7+Inputs!$B$8)),0,IF((B36&lt;Inputs!$B$7),0,((B36-Inputs!$B$7))))</f>
        <v>0</v>
      </c>
      <c r="B36" s="255">
        <f t="shared" ref="B36:B76" si="2">B35+1</f>
        <v>2020</v>
      </c>
      <c r="C36" s="260">
        <f>Traffic_related_data!E47*$C$28</f>
        <v>342348.58924451779</v>
      </c>
      <c r="D36" s="261">
        <f>IF(($A36&gt;0),(C36*Traffic_related_data!X55),0)</f>
        <v>0</v>
      </c>
      <c r="E36" s="139">
        <f t="shared" si="1"/>
        <v>0</v>
      </c>
      <c r="F36" s="258">
        <f t="shared" si="0"/>
        <v>0</v>
      </c>
      <c r="G36" s="259">
        <f t="shared" si="0"/>
        <v>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>
      <c r="A37" s="332">
        <f>IF((B37&gt;(Inputs!$B$7+Inputs!$B$8)),0,IF((B37&lt;Inputs!$B$7),0,((B37-Inputs!$B$7))))</f>
        <v>0</v>
      </c>
      <c r="B37" s="255">
        <f t="shared" si="2"/>
        <v>2021</v>
      </c>
      <c r="C37" s="260">
        <f>Traffic_related_data!E48*$C$28</f>
        <v>346347.85792870051</v>
      </c>
      <c r="D37" s="261">
        <f>IF(($A37&gt;0),(C37*Traffic_related_data!X56),0)</f>
        <v>0</v>
      </c>
      <c r="E37" s="139">
        <f t="shared" si="1"/>
        <v>0</v>
      </c>
      <c r="F37" s="258">
        <f t="shared" si="0"/>
        <v>0</v>
      </c>
      <c r="G37" s="259">
        <f t="shared" si="0"/>
        <v>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>
      <c r="A38" s="332">
        <f>IF((B38&gt;(Inputs!$B$7+Inputs!$B$8)),0,IF((B38&lt;Inputs!$B$7),0,((B38-Inputs!$B$7))))</f>
        <v>0</v>
      </c>
      <c r="B38" s="255">
        <f t="shared" si="2"/>
        <v>2022</v>
      </c>
      <c r="C38" s="260">
        <f>Traffic_related_data!E49*$C$28</f>
        <v>350393.84551435022</v>
      </c>
      <c r="D38" s="261">
        <f>IF(($A38&gt;0),(C38*Traffic_related_data!X57),0)</f>
        <v>0</v>
      </c>
      <c r="E38" s="139">
        <f t="shared" si="1"/>
        <v>0</v>
      </c>
      <c r="F38" s="258">
        <f t="shared" si="0"/>
        <v>0</v>
      </c>
      <c r="G38" s="259">
        <f t="shared" si="0"/>
        <v>0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>
      <c r="A39" s="332">
        <f>IF((B39&gt;(Inputs!$B$7+Inputs!$B$8)),0,IF((B39&lt;Inputs!$B$7),0,((B39-Inputs!$B$7))))</f>
        <v>0</v>
      </c>
      <c r="B39" s="255">
        <f t="shared" si="2"/>
        <v>2023</v>
      </c>
      <c r="C39" s="260">
        <f>Traffic_related_data!E50*$C$28</f>
        <v>354487.09776518692</v>
      </c>
      <c r="D39" s="261">
        <f>IF(($A39&gt;0),(C39*Traffic_related_data!X58),0)</f>
        <v>0</v>
      </c>
      <c r="E39" s="139">
        <f t="shared" si="1"/>
        <v>0</v>
      </c>
      <c r="F39" s="258">
        <f t="shared" si="0"/>
        <v>0</v>
      </c>
      <c r="G39" s="259">
        <f t="shared" si="0"/>
        <v>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>
      <c r="A40" s="332">
        <f>IF((B40&gt;(Inputs!$B$7+Inputs!$B$8)),0,IF((B40&lt;Inputs!$B$7),0,((B40-Inputs!$B$7))))</f>
        <v>0</v>
      </c>
      <c r="B40" s="255">
        <f t="shared" si="2"/>
        <v>2024</v>
      </c>
      <c r="C40" s="260">
        <f>Traffic_related_data!E51*$C$28</f>
        <v>358628.16682046658</v>
      </c>
      <c r="D40" s="261">
        <f>IF(($A40&gt;0),(C40*Traffic_related_data!X59),0)</f>
        <v>0</v>
      </c>
      <c r="E40" s="139">
        <f t="shared" si="1"/>
        <v>0</v>
      </c>
      <c r="F40" s="258">
        <f t="shared" si="0"/>
        <v>0</v>
      </c>
      <c r="G40" s="259">
        <f t="shared" si="0"/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>
      <c r="A41" s="332">
        <f>IF((B41&gt;(Inputs!$B$7+Inputs!$B$8)),0,IF((B41&lt;Inputs!$B$7),0,((B41-Inputs!$B$7))))</f>
        <v>0</v>
      </c>
      <c r="B41" s="255">
        <f t="shared" si="2"/>
        <v>2025</v>
      </c>
      <c r="C41" s="260">
        <f>Traffic_related_data!E52*$C$28</f>
        <v>362817.61126945936</v>
      </c>
      <c r="D41" s="261">
        <f>IF(($A41&gt;0),(C41*Traffic_related_data!X60),0)</f>
        <v>0</v>
      </c>
      <c r="E41" s="139">
        <f t="shared" si="1"/>
        <v>0</v>
      </c>
      <c r="F41" s="258">
        <f t="shared" si="0"/>
        <v>0</v>
      </c>
      <c r="G41" s="259">
        <f t="shared" si="0"/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>
      <c r="A42" s="332">
        <f>IF((B42&gt;(Inputs!$B$7+Inputs!$B$8)),0,IF((B42&lt;Inputs!$B$7),0,((B42-Inputs!$B$7))))</f>
        <v>1</v>
      </c>
      <c r="B42" s="255">
        <f t="shared" si="2"/>
        <v>2026</v>
      </c>
      <c r="C42" s="260">
        <f>Traffic_related_data!E53*$C$28</f>
        <v>367055.99622679752</v>
      </c>
      <c r="D42" s="261">
        <f>IF(($A42&gt;0),(C42*Traffic_related_data!X61),0)</f>
        <v>303.86800806337584</v>
      </c>
      <c r="E42" s="139">
        <f t="shared" si="1"/>
        <v>23890.166605931583</v>
      </c>
      <c r="F42" s="258">
        <f t="shared" si="0"/>
        <v>15919</v>
      </c>
      <c r="G42" s="259">
        <f t="shared" si="0"/>
        <v>20008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>
      <c r="A43" s="332">
        <f>IF((B43&gt;(Inputs!$B$7+Inputs!$B$8)),0,IF((B43&lt;Inputs!$B$7),0,((B43-Inputs!$B$7))))</f>
        <v>2</v>
      </c>
      <c r="B43" s="255">
        <f t="shared" si="2"/>
        <v>2027</v>
      </c>
      <c r="C43" s="260">
        <f>Traffic_related_data!E54*$C$28</f>
        <v>371343.89340870432</v>
      </c>
      <c r="D43" s="261">
        <f>IF(($A43&gt;0),(C43*Traffic_related_data!X62),0)</f>
        <v>366.95182755530851</v>
      </c>
      <c r="E43" s="139">
        <f t="shared" si="1"/>
        <v>28849.829741928654</v>
      </c>
      <c r="F43" s="258">
        <f t="shared" si="0"/>
        <v>17966</v>
      </c>
      <c r="G43" s="259">
        <f t="shared" si="0"/>
        <v>23458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>
      <c r="A44" s="332">
        <f>IF((B44&gt;(Inputs!$B$7+Inputs!$B$8)),0,IF((B44&lt;Inputs!$B$7),0,((B44-Inputs!$B$7))))</f>
        <v>3</v>
      </c>
      <c r="B44" s="255">
        <f t="shared" si="2"/>
        <v>2028</v>
      </c>
      <c r="C44" s="260">
        <f>Traffic_related_data!E55*$C$28</f>
        <v>375681.88121011213</v>
      </c>
      <c r="D44" s="261">
        <f>IF(($A44&gt;0),(C44*Traffic_related_data!X63),0)</f>
        <v>430.09295531448106</v>
      </c>
      <c r="E44" s="139">
        <f t="shared" si="1"/>
        <v>33813.998465930803</v>
      </c>
      <c r="F44" s="258">
        <f t="shared" si="0"/>
        <v>19680</v>
      </c>
      <c r="G44" s="259">
        <f t="shared" si="0"/>
        <v>26693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>
      <c r="A45" s="332">
        <f>IF((B45&gt;(Inputs!$B$7+Inputs!$B$8)),0,IF((B45&lt;Inputs!$B$7),0,((B45-Inputs!$B$7))))</f>
        <v>4</v>
      </c>
      <c r="B45" s="255">
        <f t="shared" si="2"/>
        <v>2029</v>
      </c>
      <c r="C45" s="260">
        <f>Traffic_related_data!E56*$C$28</f>
        <v>380070.54478268302</v>
      </c>
      <c r="D45" s="261">
        <f>IF(($A45&gt;0),(C45*Traffic_related_data!X64),0)</f>
        <v>493.31502161468012</v>
      </c>
      <c r="E45" s="139">
        <f t="shared" si="1"/>
        <v>38784.530595025477</v>
      </c>
      <c r="F45" s="258">
        <f t="shared" si="0"/>
        <v>21096</v>
      </c>
      <c r="G45" s="259">
        <f t="shared" si="0"/>
        <v>29725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>
      <c r="A46" s="332">
        <f>IF((B46&gt;(Inputs!$B$7+Inputs!$B$8)),0,IF((B46&lt;Inputs!$B$7),0,((B46-Inputs!$B$7))))</f>
        <v>5</v>
      </c>
      <c r="B46" s="255">
        <f t="shared" si="2"/>
        <v>2030</v>
      </c>
      <c r="C46" s="260">
        <f>Traffic_related_data!E57*$C$28</f>
        <v>384510.47611373919</v>
      </c>
      <c r="D46" s="261">
        <f>IF(($A46&gt;0),(C46*Traffic_related_data!X65),0)</f>
        <v>556.641001055522</v>
      </c>
      <c r="E46" s="139">
        <f t="shared" si="1"/>
        <v>43763.232397059146</v>
      </c>
      <c r="F46" s="258">
        <f t="shared" si="0"/>
        <v>22247</v>
      </c>
      <c r="G46" s="259">
        <f t="shared" si="0"/>
        <v>32564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>
      <c r="A47" s="332">
        <f>IF((B47&gt;(Inputs!$B$7+Inputs!$B$8)),0,IF((B47&lt;Inputs!$B$7),0,((B47-Inputs!$B$7))))</f>
        <v>6</v>
      </c>
      <c r="B47" s="255">
        <f t="shared" si="2"/>
        <v>2031</v>
      </c>
      <c r="C47" s="260">
        <f>Traffic_related_data!E58*$C$28</f>
        <v>389002.27410611691</v>
      </c>
      <c r="D47" s="261">
        <f>IF(($A47&gt;0),(C47*Traffic_related_data!X66),0)</f>
        <v>505.06597216377014</v>
      </c>
      <c r="E47" s="139">
        <f t="shared" si="1"/>
        <v>39708.392794883228</v>
      </c>
      <c r="F47" s="258">
        <f t="shared" si="0"/>
        <v>18865</v>
      </c>
      <c r="G47" s="259">
        <f t="shared" si="0"/>
        <v>28686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>
      <c r="A48" s="332">
        <f>IF((B48&gt;(Inputs!$B$7+Inputs!$B$8)),0,IF((B48&lt;Inputs!$B$7),0,((B48-Inputs!$B$7))))</f>
        <v>7</v>
      </c>
      <c r="B48" s="255">
        <f t="shared" si="2"/>
        <v>2032</v>
      </c>
      <c r="C48" s="260">
        <f>Traffic_related_data!E59*$C$28</f>
        <v>393546.54465895181</v>
      </c>
      <c r="D48" s="261">
        <f>IF(($A48&gt;0),(C48*Traffic_related_data!X67),0)</f>
        <v>451.91437931373292</v>
      </c>
      <c r="E48" s="139">
        <f t="shared" si="1"/>
        <v>35529.603403230001</v>
      </c>
      <c r="F48" s="258">
        <f t="shared" si="0"/>
        <v>15776</v>
      </c>
      <c r="G48" s="259">
        <f t="shared" si="0"/>
        <v>24920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>
      <c r="A49" s="332">
        <f>IF((B49&gt;(Inputs!$B$7+Inputs!$B$8)),0,IF((B49&lt;Inputs!$B$7),0,((B49-Inputs!$B$7))))</f>
        <v>8</v>
      </c>
      <c r="B49" s="255">
        <f t="shared" si="2"/>
        <v>2033</v>
      </c>
      <c r="C49" s="260">
        <f>Traffic_related_data!E60*$C$28</f>
        <v>398143.9007494094</v>
      </c>
      <c r="D49" s="261">
        <f>IF(($A49&gt;0),(C49*Traffic_related_data!X68),0)</f>
        <v>397.18486024548179</v>
      </c>
      <c r="E49" s="139">
        <f t="shared" si="1"/>
        <v>31226.757120937818</v>
      </c>
      <c r="F49" s="258">
        <f t="shared" si="0"/>
        <v>12958</v>
      </c>
      <c r="G49" s="259">
        <f t="shared" si="0"/>
        <v>21264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>
      <c r="A50" s="332">
        <f>IF((B50&gt;(Inputs!$B$7+Inputs!$B$8)),0,IF((B50&lt;Inputs!$B$7),0,((B50-Inputs!$B$7))))</f>
        <v>9</v>
      </c>
      <c r="B50" s="255">
        <f t="shared" si="2"/>
        <v>2034</v>
      </c>
      <c r="C50" s="260">
        <f>Traffic_related_data!E61*$C$28</f>
        <v>402794.96251536923</v>
      </c>
      <c r="D50" s="261">
        <f>IF(($A50&gt;0),(C50*Traffic_related_data!X69),0)</f>
        <v>340.87526713792698</v>
      </c>
      <c r="E50" s="139">
        <f t="shared" si="1"/>
        <v>26799.685085861551</v>
      </c>
      <c r="F50" s="258">
        <f t="shared" si="0"/>
        <v>10393</v>
      </c>
      <c r="G50" s="259">
        <f t="shared" si="0"/>
        <v>17718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>
      <c r="A51" s="332">
        <f>IF((B51&gt;(Inputs!$B$7+Inputs!$B$8)),0,IF((B51&lt;Inputs!$B$7),0,((B51-Inputs!$B$7))))</f>
        <v>10</v>
      </c>
      <c r="B51" s="255">
        <f t="shared" si="2"/>
        <v>2035</v>
      </c>
      <c r="C51" s="260">
        <f>Traffic_related_data!E62*$C$28</f>
        <v>407500.35733907536</v>
      </c>
      <c r="D51" s="261">
        <f>IF(($A51&gt;0),(C51*Traffic_related_data!X70),0)</f>
        <v>282.98269018638081</v>
      </c>
      <c r="E51" s="139">
        <f t="shared" si="1"/>
        <v>22248.158528545599</v>
      </c>
      <c r="F51" s="258">
        <f t="shared" si="0"/>
        <v>8064</v>
      </c>
      <c r="G51" s="259">
        <f t="shared" si="0"/>
        <v>14280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>
      <c r="A52" s="332">
        <f>IF((B52&gt;(Inputs!$B$7+Inputs!$B$8)),0,IF((B52&lt;Inputs!$B$7),0,((B52-Inputs!$B$7))))</f>
        <v>11</v>
      </c>
      <c r="B52" s="255">
        <f t="shared" si="2"/>
        <v>2036</v>
      </c>
      <c r="C52" s="260">
        <f>Traffic_related_data!E63*$C$28</f>
        <v>412260.71993176424</v>
      </c>
      <c r="D52" s="261">
        <f>IF(($A52&gt;0),(C52*Traffic_related_data!X71),0)</f>
        <v>450.55305097393369</v>
      </c>
      <c r="E52" s="139">
        <f t="shared" si="1"/>
        <v>35422.575483277345</v>
      </c>
      <c r="F52" s="258">
        <f t="shared" si="0"/>
        <v>11999</v>
      </c>
      <c r="G52" s="259">
        <f t="shared" si="0"/>
        <v>22074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>
      <c r="A53" s="332">
        <f>IF((B53&gt;(Inputs!$B$7+Inputs!$B$8)),0,IF((B53&lt;Inputs!$B$7),0,((B53-Inputs!$B$7))))</f>
        <v>12</v>
      </c>
      <c r="B53" s="255">
        <f t="shared" si="2"/>
        <v>2037</v>
      </c>
      <c r="C53" s="260">
        <f>Traffic_related_data!E64*$C$28</f>
        <v>417076.69241928094</v>
      </c>
      <c r="D53" s="261">
        <f>IF(($A53&gt;0),(C53*Traffic_related_data!X72),0)</f>
        <v>618.36372376269048</v>
      </c>
      <c r="E53" s="139">
        <f t="shared" si="1"/>
        <v>48615.885818009039</v>
      </c>
      <c r="F53" s="258">
        <f t="shared" si="0"/>
        <v>15391</v>
      </c>
      <c r="G53" s="259">
        <f t="shared" si="0"/>
        <v>29413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>
      <c r="A54" s="332">
        <f>IF((B54&gt;(Inputs!$B$7+Inputs!$B$8)),0,IF((B54&lt;Inputs!$B$7),0,((B54-Inputs!$B$7))))</f>
        <v>13</v>
      </c>
      <c r="B54" s="255">
        <f t="shared" si="2"/>
        <v>2038</v>
      </c>
      <c r="C54" s="260">
        <f>Traffic_related_data!E65*$C$28</f>
        <v>421948.92442869511</v>
      </c>
      <c r="D54" s="261">
        <f>IF(($A54&gt;0),(C54*Traffic_related_data!X73),0)</f>
        <v>786.47492386153203</v>
      </c>
      <c r="E54" s="139">
        <f t="shared" si="1"/>
        <v>61832.823672970037</v>
      </c>
      <c r="F54" s="258">
        <f t="shared" ref="F54:G76" si="3">ROUND($E54/((1+F$32)^($B54-$C$30)),0)</f>
        <v>18294</v>
      </c>
      <c r="G54" s="259">
        <f t="shared" si="3"/>
        <v>36320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>
      <c r="A55" s="332">
        <f>IF((B55&gt;(Inputs!$B$7+Inputs!$B$8)),0,IF((B55&lt;Inputs!$B$7),0,((B55-Inputs!$B$7))))</f>
        <v>14</v>
      </c>
      <c r="B55" s="255">
        <f t="shared" si="2"/>
        <v>2039</v>
      </c>
      <c r="C55" s="260">
        <f>Traffic_related_data!E66*$C$28</f>
        <v>426878.07317593001</v>
      </c>
      <c r="D55" s="261">
        <f>IF(($A55&gt;0),(C55*Traffic_related_data!X74),0)</f>
        <v>954.94530479581988</v>
      </c>
      <c r="E55" s="140">
        <f t="shared" si="1"/>
        <v>75078.000400641453</v>
      </c>
      <c r="F55" s="264">
        <f t="shared" si="3"/>
        <v>20760</v>
      </c>
      <c r="G55" s="265">
        <f t="shared" si="3"/>
        <v>42816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>
      <c r="A56" s="332">
        <f>IF((B56&gt;(Inputs!$B$7+Inputs!$B$8)),0,IF((B56&lt;Inputs!$B$7),0,((B56-Inputs!$B$7))))</f>
        <v>15</v>
      </c>
      <c r="B56" s="255">
        <f t="shared" si="2"/>
        <v>2040</v>
      </c>
      <c r="C56" s="260">
        <f>Traffic_related_data!E67*$C$28</f>
        <v>431864.80355441384</v>
      </c>
      <c r="D56" s="261">
        <f>IF(($A56&gt;0),(C56*Traffic_related_data!X75),0)</f>
        <v>1123.832057786889</v>
      </c>
      <c r="E56" s="139">
        <f t="shared" si="1"/>
        <v>88355.912386854747</v>
      </c>
      <c r="F56" s="258">
        <f t="shared" si="3"/>
        <v>22833</v>
      </c>
      <c r="G56" s="259">
        <f t="shared" si="3"/>
        <v>48921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>
      <c r="A57" s="332">
        <f>IF((B57&gt;(Inputs!$B$7+Inputs!$B$8)),0,IF((B57&lt;Inputs!$B$7),0,((B57-Inputs!$B$7))))</f>
        <v>16</v>
      </c>
      <c r="B57" s="255">
        <f t="shared" si="2"/>
        <v>2041</v>
      </c>
      <c r="C57" s="260">
        <f>Traffic_related_data!E68*$C$28</f>
        <v>436909.78822476778</v>
      </c>
      <c r="D57" s="261">
        <f>IF(($A57&gt;0),(C57*Traffic_related_data!X76),0)</f>
        <v>1191.6616844830794</v>
      </c>
      <c r="E57" s="139">
        <f t="shared" si="1"/>
        <v>93688.691881865496</v>
      </c>
      <c r="F57" s="258">
        <f t="shared" si="3"/>
        <v>22627</v>
      </c>
      <c r="G57" s="259">
        <f t="shared" si="3"/>
        <v>50362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>
      <c r="A58" s="332">
        <f>IF((B58&gt;(Inputs!$B$7+Inputs!$B$8)),0,IF((B58&lt;Inputs!$B$7),0,((B58-Inputs!$B$7))))</f>
        <v>17</v>
      </c>
      <c r="B58" s="255">
        <f t="shared" si="2"/>
        <v>2042</v>
      </c>
      <c r="C58" s="260">
        <f>Traffic_related_data!E69*$C$28</f>
        <v>442013.70770554064</v>
      </c>
      <c r="D58" s="261">
        <f>IF(($A58&gt;0),(C58*Traffic_related_data!X77),0)</f>
        <v>1259.7789142114234</v>
      </c>
      <c r="E58" s="139">
        <f t="shared" si="1"/>
        <v>99044.082787660533</v>
      </c>
      <c r="F58" s="258">
        <f t="shared" si="3"/>
        <v>22356</v>
      </c>
      <c r="G58" s="259">
        <f t="shared" si="3"/>
        <v>51690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>
      <c r="A59" s="332">
        <f>IF((B59&gt;(Inputs!$B$7+Inputs!$B$8)),0,IF((B59&lt;Inputs!$B$7),0,((B59-Inputs!$B$7))))</f>
        <v>18</v>
      </c>
      <c r="B59" s="255">
        <f t="shared" si="2"/>
        <v>2043</v>
      </c>
      <c r="C59" s="260">
        <f>Traffic_related_data!E70*$C$28</f>
        <v>447177.25046500465</v>
      </c>
      <c r="D59" s="261">
        <f>IF(($A59&gt;0),(C59*Traffic_related_data!X78),0)</f>
        <v>1328.2032678158023</v>
      </c>
      <c r="E59" s="139">
        <f t="shared" si="1"/>
        <v>104423.61983708515</v>
      </c>
      <c r="F59" s="258">
        <f t="shared" si="3"/>
        <v>22028</v>
      </c>
      <c r="G59" s="259">
        <f t="shared" si="3"/>
        <v>52911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>
      <c r="A60" s="332">
        <f>IF((B60&gt;(Inputs!$B$7+Inputs!$B$8)),0,IF((B60&lt;Inputs!$B$7),0,((B60-Inputs!$B$7))))</f>
        <v>19</v>
      </c>
      <c r="B60" s="255">
        <f t="shared" si="2"/>
        <v>2044</v>
      </c>
      <c r="C60" s="260">
        <f>Traffic_related_data!E71*$C$28</f>
        <v>452401.11301402276</v>
      </c>
      <c r="D60" s="261">
        <f>IF(($A60&gt;0),(C60*Traffic_related_data!X79),0)</f>
        <v>1396.9539106541799</v>
      </c>
      <c r="E60" s="139">
        <f t="shared" si="1"/>
        <v>109828.80981460716</v>
      </c>
      <c r="F60" s="258">
        <f t="shared" si="3"/>
        <v>21652</v>
      </c>
      <c r="G60" s="259">
        <f t="shared" si="3"/>
        <v>54028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>
      <c r="A61" s="332">
        <f>IF((B61&gt;(Inputs!$B$7+Inputs!$B$8)),0,IF((B61&lt;Inputs!$B$7),0,((B61-Inputs!$B$7))))</f>
        <v>20</v>
      </c>
      <c r="B61" s="255">
        <f t="shared" si="2"/>
        <v>2045</v>
      </c>
      <c r="C61" s="260">
        <f>Traffic_related_data!E72*$C$28</f>
        <v>457686.00000000099</v>
      </c>
      <c r="D61" s="261">
        <f>IF(($A61&gt;0),(C61*Traffic_related_data!X80),0)</f>
        <v>1466.0496763237602</v>
      </c>
      <c r="E61" s="139">
        <f t="shared" si="1"/>
        <v>115261.1334215938</v>
      </c>
      <c r="F61" s="258">
        <f t="shared" si="3"/>
        <v>21237</v>
      </c>
      <c r="G61" s="259">
        <f t="shared" si="3"/>
        <v>55049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>
      <c r="A62" s="332">
        <f>IF((B62&gt;(Inputs!$B$7+Inputs!$B$8)),0,IF((B62&lt;Inputs!$B$7),0,((B62-Inputs!$B$7))))</f>
        <v>21</v>
      </c>
      <c r="B62" s="255">
        <f t="shared" si="2"/>
        <v>2046</v>
      </c>
      <c r="C62" s="260">
        <f>Traffic_related_data!E73*$C$28</f>
        <v>457686.00000000006</v>
      </c>
      <c r="D62" s="261">
        <f>IF(($A62&gt;0),(C62*Traffic_related_data!X81),0)</f>
        <v>1466.0496763237572</v>
      </c>
      <c r="E62" s="139">
        <f t="shared" si="1"/>
        <v>115261.13342159356</v>
      </c>
      <c r="F62" s="258">
        <f t="shared" si="3"/>
        <v>19847</v>
      </c>
      <c r="G62" s="259">
        <f t="shared" si="3"/>
        <v>53446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>
      <c r="A63" s="332">
        <f>IF((B63&gt;(Inputs!$B$7+Inputs!$B$8)),0,IF((B63&lt;Inputs!$B$7),0,((B63-Inputs!$B$7))))</f>
        <v>22</v>
      </c>
      <c r="B63" s="255">
        <f t="shared" si="2"/>
        <v>2047</v>
      </c>
      <c r="C63" s="260">
        <f>Traffic_related_data!E74*$C$28</f>
        <v>457686.00000000006</v>
      </c>
      <c r="D63" s="261">
        <f>IF(($A63&gt;0),(C63*Traffic_related_data!X82),0)</f>
        <v>1466.0496763237572</v>
      </c>
      <c r="E63" s="139">
        <f t="shared" si="1"/>
        <v>115261.13342159356</v>
      </c>
      <c r="F63" s="258">
        <f t="shared" si="3"/>
        <v>18549</v>
      </c>
      <c r="G63" s="259">
        <f t="shared" si="3"/>
        <v>51889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>
      <c r="A64" s="332">
        <f>IF((B64&gt;(Inputs!$B$7+Inputs!$B$8)),0,IF((B64&lt;Inputs!$B$7),0,((B64-Inputs!$B$7))))</f>
        <v>23</v>
      </c>
      <c r="B64" s="255">
        <f t="shared" si="2"/>
        <v>2048</v>
      </c>
      <c r="C64" s="260">
        <f>Traffic_related_data!E75*$C$28</f>
        <v>457686.00000000006</v>
      </c>
      <c r="D64" s="261">
        <f>IF(($A64&gt;0),(C64*Traffic_related_data!X83),0)</f>
        <v>1466.0496763237572</v>
      </c>
      <c r="E64" s="139">
        <f t="shared" si="1"/>
        <v>115261.13342159356</v>
      </c>
      <c r="F64" s="258">
        <f t="shared" si="3"/>
        <v>17336</v>
      </c>
      <c r="G64" s="259">
        <f t="shared" si="3"/>
        <v>50378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>
      <c r="A65" s="332">
        <f>IF((B65&gt;(Inputs!$B$7+Inputs!$B$8)),0,IF((B65&lt;Inputs!$B$7),0,((B65-Inputs!$B$7))))</f>
        <v>24</v>
      </c>
      <c r="B65" s="255">
        <f t="shared" si="2"/>
        <v>2049</v>
      </c>
      <c r="C65" s="260">
        <f>Traffic_related_data!E76*$C$28</f>
        <v>457686.00000000006</v>
      </c>
      <c r="D65" s="261">
        <f>IF(($A65&gt;0),(C65*Traffic_related_data!X84),0)</f>
        <v>1466.0496763237572</v>
      </c>
      <c r="E65" s="139">
        <f t="shared" si="1"/>
        <v>115261.13342159356</v>
      </c>
      <c r="F65" s="258">
        <f t="shared" si="3"/>
        <v>16201</v>
      </c>
      <c r="G65" s="259">
        <f t="shared" si="3"/>
        <v>48911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>
      <c r="A66" s="332">
        <f>IF((B66&gt;(Inputs!$B$7+Inputs!$B$8)),0,IF((B66&lt;Inputs!$B$7),0,((B66-Inputs!$B$7))))</f>
        <v>25</v>
      </c>
      <c r="B66" s="255">
        <f t="shared" si="2"/>
        <v>2050</v>
      </c>
      <c r="C66" s="260">
        <f>Traffic_related_data!E77*$C$28</f>
        <v>457686.00000000006</v>
      </c>
      <c r="D66" s="261">
        <f>IF(($A66&gt;0),(C66*Traffic_related_data!X85),0)</f>
        <v>1466.0496763237572</v>
      </c>
      <c r="E66" s="139">
        <f t="shared" si="1"/>
        <v>115261.13342159356</v>
      </c>
      <c r="F66" s="258">
        <f t="shared" si="3"/>
        <v>15142</v>
      </c>
      <c r="G66" s="259">
        <f t="shared" si="3"/>
        <v>47486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>
      <c r="A67" s="332">
        <f>IF((B67&gt;(Inputs!$B$7+Inputs!$B$8)),0,IF((B67&lt;Inputs!$B$7),0,((B67-Inputs!$B$7))))</f>
        <v>26</v>
      </c>
      <c r="B67" s="255">
        <f t="shared" si="2"/>
        <v>2051</v>
      </c>
      <c r="C67" s="260">
        <f>Traffic_related_data!E78*$C$28</f>
        <v>457686.00000000006</v>
      </c>
      <c r="D67" s="261">
        <f>IF(($A67&gt;0),(C67*Traffic_related_data!X86),0)</f>
        <v>1466.0496763237572</v>
      </c>
      <c r="E67" s="139">
        <f t="shared" si="1"/>
        <v>115261.13342159356</v>
      </c>
      <c r="F67" s="258">
        <f t="shared" si="3"/>
        <v>14151</v>
      </c>
      <c r="G67" s="259">
        <f t="shared" si="3"/>
        <v>46103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s="64" customFormat="1">
      <c r="A68" s="332">
        <f>IF((B68&gt;(Inputs!$B$7+Inputs!$B$8)),0,IF((B68&lt;Inputs!$B$7),0,((B68-Inputs!$B$7))))</f>
        <v>27</v>
      </c>
      <c r="B68" s="255">
        <f t="shared" si="2"/>
        <v>2052</v>
      </c>
      <c r="C68" s="260">
        <f>Traffic_related_data!E79*$C$28</f>
        <v>457686.00000000006</v>
      </c>
      <c r="D68" s="261">
        <f>IF(($A68&gt;0),(C68*Traffic_related_data!X87),0)</f>
        <v>1466.0496763237572</v>
      </c>
      <c r="E68" s="139">
        <f t="shared" si="1"/>
        <v>115261.13342159356</v>
      </c>
      <c r="F68" s="258">
        <f t="shared" si="3"/>
        <v>13225</v>
      </c>
      <c r="G68" s="259">
        <f t="shared" si="3"/>
        <v>44760</v>
      </c>
    </row>
    <row r="69" spans="1:22" s="64" customFormat="1">
      <c r="A69" s="332">
        <f>IF((B69&gt;(Inputs!$B$7+Inputs!$B$8)),0,IF((B69&lt;Inputs!$B$7),0,((B69-Inputs!$B$7))))</f>
        <v>28</v>
      </c>
      <c r="B69" s="255">
        <f t="shared" si="2"/>
        <v>2053</v>
      </c>
      <c r="C69" s="260">
        <f>Traffic_related_data!E80*$C$28</f>
        <v>457686.00000000006</v>
      </c>
      <c r="D69" s="261">
        <f>IF(($A69&gt;0),(C69*Traffic_related_data!X88),0)</f>
        <v>1466.0496763237572</v>
      </c>
      <c r="E69" s="139">
        <f t="shared" si="1"/>
        <v>115261.13342159356</v>
      </c>
      <c r="F69" s="258">
        <f t="shared" si="3"/>
        <v>12360</v>
      </c>
      <c r="G69" s="259">
        <f t="shared" si="3"/>
        <v>43456</v>
      </c>
    </row>
    <row r="70" spans="1:22" s="64" customFormat="1">
      <c r="A70" s="332">
        <f>IF((B70&gt;(Inputs!$B$7+Inputs!$B$8)),0,IF((B70&lt;Inputs!$B$7),0,((B70-Inputs!$B$7))))</f>
        <v>29</v>
      </c>
      <c r="B70" s="255">
        <f t="shared" si="2"/>
        <v>2054</v>
      </c>
      <c r="C70" s="260">
        <f>Traffic_related_data!E81*$C$28</f>
        <v>457686.00000000006</v>
      </c>
      <c r="D70" s="261">
        <f>IF(($A70&gt;0),(C70*Traffic_related_data!X89),0)</f>
        <v>1466.0496763237572</v>
      </c>
      <c r="E70" s="139">
        <f t="shared" si="1"/>
        <v>115261.13342159356</v>
      </c>
      <c r="F70" s="258">
        <f t="shared" si="3"/>
        <v>11551</v>
      </c>
      <c r="G70" s="259">
        <f t="shared" si="3"/>
        <v>42191</v>
      </c>
    </row>
    <row r="71" spans="1:22" s="64" customFormat="1">
      <c r="A71" s="332">
        <f>IF((B71&gt;(Inputs!$B$7+Inputs!$B$8)),0,IF((B71&lt;Inputs!$B$7),0,((B71-Inputs!$B$7))))</f>
        <v>30</v>
      </c>
      <c r="B71" s="255">
        <f t="shared" si="2"/>
        <v>2055</v>
      </c>
      <c r="C71" s="260">
        <f>Traffic_related_data!E82*$C$28</f>
        <v>457686.00000000006</v>
      </c>
      <c r="D71" s="261">
        <f>IF(($A71&gt;0),(C71*Traffic_related_data!X90),0)</f>
        <v>1466.0496763237572</v>
      </c>
      <c r="E71" s="139">
        <f t="shared" si="1"/>
        <v>115261.13342159356</v>
      </c>
      <c r="F71" s="258">
        <f t="shared" si="3"/>
        <v>10796</v>
      </c>
      <c r="G71" s="259">
        <f t="shared" si="3"/>
        <v>40962</v>
      </c>
    </row>
    <row r="72" spans="1:22" s="64" customFormat="1">
      <c r="A72" s="332">
        <f>IF((B72&gt;(Inputs!$B$7+Inputs!$B$8)),0,IF((B72&lt;Inputs!$B$7),0,((B72-Inputs!$B$7))))</f>
        <v>0</v>
      </c>
      <c r="B72" s="255">
        <f t="shared" si="2"/>
        <v>2056</v>
      </c>
      <c r="C72" s="260">
        <f>Traffic_related_data!E83*$C$28</f>
        <v>457686.00000000006</v>
      </c>
      <c r="D72" s="261">
        <f>IF(($A72&gt;0),(C72*Traffic_related_data!X91),0)</f>
        <v>0</v>
      </c>
      <c r="E72" s="139">
        <f t="shared" si="1"/>
        <v>0</v>
      </c>
      <c r="F72" s="258">
        <f t="shared" si="3"/>
        <v>0</v>
      </c>
      <c r="G72" s="259">
        <f t="shared" si="3"/>
        <v>0</v>
      </c>
    </row>
    <row r="73" spans="1:22" s="64" customFormat="1">
      <c r="A73" s="332">
        <f>IF((B73&gt;(Inputs!$B$7+Inputs!$B$8)),0,IF((B73&lt;Inputs!$B$7),0,((B73-Inputs!$B$7))))</f>
        <v>0</v>
      </c>
      <c r="B73" s="255">
        <f t="shared" si="2"/>
        <v>2057</v>
      </c>
      <c r="C73" s="260">
        <f>Traffic_related_data!E84*$C$28</f>
        <v>457686.00000000006</v>
      </c>
      <c r="D73" s="261">
        <f>IF(($A73&gt;0),(C73*Traffic_related_data!X92),0)</f>
        <v>0</v>
      </c>
      <c r="E73" s="139">
        <f t="shared" si="1"/>
        <v>0</v>
      </c>
      <c r="F73" s="258">
        <f t="shared" si="3"/>
        <v>0</v>
      </c>
      <c r="G73" s="259">
        <f t="shared" si="3"/>
        <v>0</v>
      </c>
    </row>
    <row r="74" spans="1:22" s="64" customFormat="1">
      <c r="A74" s="332">
        <f>IF((B74&gt;(Inputs!$B$7+Inputs!$B$8)),0,IF((B74&lt;Inputs!$B$7),0,((B74-Inputs!$B$7))))</f>
        <v>0</v>
      </c>
      <c r="B74" s="255">
        <f t="shared" si="2"/>
        <v>2058</v>
      </c>
      <c r="C74" s="260">
        <f>Traffic_related_data!E85*$C$28</f>
        <v>457686.00000000006</v>
      </c>
      <c r="D74" s="261">
        <f>IF(($A74&gt;0),(C74*Traffic_related_data!X93),0)</f>
        <v>0</v>
      </c>
      <c r="E74" s="139">
        <f t="shared" si="1"/>
        <v>0</v>
      </c>
      <c r="F74" s="258">
        <f t="shared" si="3"/>
        <v>0</v>
      </c>
      <c r="G74" s="259">
        <f t="shared" si="3"/>
        <v>0</v>
      </c>
    </row>
    <row r="75" spans="1:22" s="64" customFormat="1">
      <c r="A75" s="332">
        <f>IF((B75&gt;(Inputs!$B$7+Inputs!$B$8)),0,IF((B75&lt;Inputs!$B$7),0,((B75-Inputs!$B$7))))</f>
        <v>0</v>
      </c>
      <c r="B75" s="255">
        <f t="shared" si="2"/>
        <v>2059</v>
      </c>
      <c r="C75" s="260">
        <f>Traffic_related_data!E86*$C$28</f>
        <v>457686.00000000006</v>
      </c>
      <c r="D75" s="261">
        <f>IF(($A75&gt;0),(C75*Traffic_related_data!X94),0)</f>
        <v>0</v>
      </c>
      <c r="E75" s="139">
        <f t="shared" si="1"/>
        <v>0</v>
      </c>
      <c r="F75" s="258">
        <f t="shared" si="3"/>
        <v>0</v>
      </c>
      <c r="G75" s="259">
        <f t="shared" si="3"/>
        <v>0</v>
      </c>
    </row>
    <row r="76" spans="1:22" ht="15.75" thickBot="1">
      <c r="A76" s="332">
        <f>IF((B76&gt;(Inputs!$B$7+Inputs!$B$8)),0,IF((B76&lt;Inputs!$B$7),0,((B76-Inputs!$B$7))))</f>
        <v>0</v>
      </c>
      <c r="B76" s="255">
        <f t="shared" si="2"/>
        <v>2060</v>
      </c>
      <c r="C76" s="266">
        <f>Traffic_related_data!E87*$C$28</f>
        <v>457686.00000000006</v>
      </c>
      <c r="D76" s="267">
        <f>IF(($A76&gt;0),(C76*Traffic_related_data!X95),0)</f>
        <v>0</v>
      </c>
      <c r="E76" s="277">
        <f t="shared" si="1"/>
        <v>0</v>
      </c>
      <c r="F76" s="269">
        <f t="shared" si="3"/>
        <v>0</v>
      </c>
      <c r="G76" s="270">
        <f t="shared" si="3"/>
        <v>0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>
      <c r="D78" s="100">
        <f>SUM(D35:D77)</f>
        <v>29366.205260557341</v>
      </c>
      <c r="E78" s="100">
        <f t="shared" ref="E78:G78" si="4">SUM(E35:E77)</f>
        <v>2308777.2244598339</v>
      </c>
      <c r="F78" s="100">
        <f t="shared" si="4"/>
        <v>511299</v>
      </c>
      <c r="G78" s="100">
        <f t="shared" si="4"/>
        <v>1152482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3:22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</sheetData>
  <mergeCells count="1">
    <mergeCell ref="D32:E32"/>
  </mergeCells>
  <hyperlinks>
    <hyperlink ref="B18" r:id="rId1" xr:uid="{00000000-0004-0000-0500-000000000000}"/>
    <hyperlink ref="B23" r:id="rId2" xr:uid="{00000000-0004-0000-0500-000001000000}"/>
  </hyperlinks>
  <pageMargins left="0.7" right="0.7" top="0.75" bottom="0.75" header="0.3" footer="0.3"/>
  <pageSetup orientation="portrait" horizontalDpi="1200" verticalDpi="120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FF381-F0B2-4F7B-9301-892F17D6CADA}">
  <sheetPr>
    <tabColor theme="6" tint="-0.249977111117893"/>
  </sheetPr>
  <dimension ref="A1:AU57"/>
  <sheetViews>
    <sheetView workbookViewId="0"/>
  </sheetViews>
  <sheetFormatPr defaultColWidth="9.140625" defaultRowHeight="15"/>
  <cols>
    <col min="1" max="1" width="10.7109375" style="463" customWidth="1"/>
    <col min="2" max="2" width="25.28515625" style="64" customWidth="1"/>
    <col min="3" max="3" width="18" style="64" customWidth="1"/>
    <col min="4" max="4" width="17.140625" style="64" customWidth="1"/>
    <col min="5" max="5" width="18.140625" style="64" customWidth="1"/>
    <col min="6" max="6" width="14.5703125" style="64" customWidth="1"/>
    <col min="7" max="7" width="15.7109375" style="64" customWidth="1"/>
    <col min="8" max="8" width="18" style="64" customWidth="1"/>
    <col min="9" max="9" width="17.140625" style="64" customWidth="1"/>
    <col min="10" max="10" width="18.140625" style="64" customWidth="1"/>
    <col min="11" max="11" width="14.5703125" style="64" customWidth="1"/>
    <col min="12" max="12" width="15.7109375" style="64" customWidth="1"/>
    <col min="13" max="13" width="18" style="64" customWidth="1"/>
    <col min="14" max="14" width="17.140625" style="64" customWidth="1"/>
    <col min="15" max="15" width="18.140625" style="64" customWidth="1"/>
    <col min="16" max="16" width="14.5703125" style="64" customWidth="1"/>
    <col min="17" max="17" width="15.7109375" style="64" customWidth="1"/>
    <col min="18" max="18" width="18" style="64" customWidth="1"/>
    <col min="19" max="19" width="17.140625" style="64" customWidth="1"/>
    <col min="20" max="20" width="18.140625" style="64" customWidth="1"/>
    <col min="21" max="21" width="14.5703125" style="64" customWidth="1"/>
    <col min="22" max="22" width="15.7109375" style="64" customWidth="1"/>
    <col min="23" max="23" width="18" style="64" customWidth="1"/>
    <col min="24" max="24" width="17.140625" style="64" customWidth="1"/>
    <col min="25" max="25" width="18.140625" style="64" customWidth="1"/>
    <col min="26" max="26" width="14.5703125" style="64" customWidth="1"/>
    <col min="27" max="27" width="15.7109375" style="64" customWidth="1"/>
    <col min="28" max="28" width="18" style="64" customWidth="1"/>
    <col min="29" max="29" width="17.140625" style="64" customWidth="1"/>
    <col min="30" max="30" width="18.140625" style="64" customWidth="1"/>
    <col min="31" max="31" width="14.5703125" style="64" customWidth="1"/>
    <col min="32" max="32" width="15.7109375" style="64" customWidth="1"/>
    <col min="33" max="33" width="18" style="64" customWidth="1"/>
    <col min="34" max="34" width="17.140625" style="64" customWidth="1"/>
    <col min="35" max="35" width="18.140625" style="64" customWidth="1"/>
    <col min="36" max="36" width="14.5703125" style="64" customWidth="1"/>
    <col min="37" max="37" width="15.7109375" style="64" customWidth="1"/>
    <col min="38" max="38" width="18" style="64" customWidth="1"/>
    <col min="39" max="39" width="17.140625" style="64" customWidth="1"/>
    <col min="40" max="40" width="18.140625" style="64" customWidth="1"/>
    <col min="41" max="41" width="14.5703125" style="64" customWidth="1"/>
    <col min="42" max="42" width="15.7109375" style="64" customWidth="1"/>
    <col min="43" max="43" width="18" style="64" customWidth="1"/>
    <col min="44" max="44" width="17.140625" style="64" customWidth="1"/>
    <col min="45" max="45" width="18.140625" style="64" customWidth="1"/>
    <col min="46" max="46" width="14.5703125" style="64" customWidth="1"/>
    <col min="47" max="47" width="15.7109375" style="64" customWidth="1"/>
    <col min="48" max="48" width="18" style="64" customWidth="1"/>
    <col min="49" max="49" width="17.140625" style="64" customWidth="1"/>
    <col min="50" max="50" width="18.140625" style="64" customWidth="1"/>
    <col min="51" max="51" width="14.5703125" style="64" customWidth="1"/>
    <col min="52" max="52" width="15.7109375" style="64" customWidth="1"/>
    <col min="53" max="53" width="18" style="64" customWidth="1"/>
    <col min="54" max="54" width="17.140625" style="64" customWidth="1"/>
    <col min="55" max="55" width="18.140625" style="64" customWidth="1"/>
    <col min="56" max="56" width="14.5703125" style="64" customWidth="1"/>
    <col min="57" max="57" width="15.7109375" style="64" customWidth="1"/>
    <col min="58" max="58" width="18" style="64" customWidth="1"/>
    <col min="59" max="59" width="17.140625" style="64" customWidth="1"/>
    <col min="60" max="60" width="18.140625" style="64" customWidth="1"/>
    <col min="61" max="61" width="14.5703125" style="64" customWidth="1"/>
    <col min="62" max="62" width="15.7109375" style="64" customWidth="1"/>
    <col min="63" max="63" width="18" style="64" customWidth="1"/>
    <col min="64" max="64" width="17.140625" style="64" customWidth="1"/>
    <col min="65" max="65" width="18.140625" style="64" customWidth="1"/>
    <col min="66" max="66" width="14.5703125" style="64" customWidth="1"/>
    <col min="67" max="67" width="15.7109375" style="64" customWidth="1"/>
    <col min="68" max="16384" width="9.140625" style="64"/>
  </cols>
  <sheetData>
    <row r="1" spans="1:47">
      <c r="A1" s="338"/>
      <c r="B1" s="16" t="s">
        <v>690</v>
      </c>
    </row>
    <row r="2" spans="1:47">
      <c r="B2" s="64" t="s">
        <v>837</v>
      </c>
    </row>
    <row r="4" spans="1:47">
      <c r="E4" s="16" t="s">
        <v>23</v>
      </c>
      <c r="F4" s="16"/>
    </row>
    <row r="5" spans="1:47">
      <c r="B5" s="171" t="s">
        <v>352</v>
      </c>
      <c r="C5" s="202">
        <f>Inputs!B33</f>
        <v>16.600000000000001</v>
      </c>
      <c r="E5" s="11" t="s">
        <v>24</v>
      </c>
      <c r="F5" s="12">
        <f>Truck_OperatingSavings!C26</f>
        <v>78.620209999036689</v>
      </c>
    </row>
    <row r="6" spans="1:47">
      <c r="B6" s="174"/>
      <c r="C6" s="81"/>
    </row>
    <row r="7" spans="1:47">
      <c r="B7" s="174"/>
      <c r="C7" s="81"/>
    </row>
    <row r="8" spans="1:47">
      <c r="B8" s="174" t="s">
        <v>4</v>
      </c>
      <c r="C8" s="81">
        <f>Inputs!B10</f>
        <v>2020</v>
      </c>
    </row>
    <row r="10" spans="1:4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T10" s="2"/>
      <c r="AU10" s="2"/>
    </row>
    <row r="11" spans="1:47" ht="15.75" thickBot="1">
      <c r="B11" s="1"/>
      <c r="C11" s="673" t="s">
        <v>486</v>
      </c>
      <c r="D11" s="673"/>
      <c r="E11" s="673" t="s">
        <v>486</v>
      </c>
      <c r="F11" s="673"/>
      <c r="G11" s="465"/>
      <c r="H11" s="2">
        <f>Inputs!$B$3</f>
        <v>7.0000000000000007E-2</v>
      </c>
      <c r="I11" s="2">
        <f>Inputs!$B$4</f>
        <v>0.03</v>
      </c>
    </row>
    <row r="12" spans="1:47" ht="51">
      <c r="A12" s="75" t="s">
        <v>147</v>
      </c>
      <c r="B12" s="254" t="s">
        <v>0</v>
      </c>
      <c r="C12" s="35" t="s">
        <v>263</v>
      </c>
      <c r="D12" s="4" t="s">
        <v>101</v>
      </c>
      <c r="E12" s="35" t="s">
        <v>99</v>
      </c>
      <c r="F12" s="4" t="s">
        <v>677</v>
      </c>
      <c r="G12" s="4" t="s">
        <v>678</v>
      </c>
      <c r="H12" s="5" t="s">
        <v>264</v>
      </c>
      <c r="I12" s="5" t="s">
        <v>265</v>
      </c>
    </row>
    <row r="13" spans="1:47" ht="14.45" customHeight="1">
      <c r="A13" s="463">
        <f>IF((B13&gt;(Inputs!$B$7+Inputs!$B$8)),0,IF((B13&lt;Inputs!$B$7),0,((B13-Inputs!$B$7))))</f>
        <v>0</v>
      </c>
      <c r="B13" s="255">
        <v>2018</v>
      </c>
      <c r="C13" s="257"/>
      <c r="D13" s="258">
        <v>0</v>
      </c>
      <c r="E13" s="257"/>
      <c r="F13" s="258">
        <v>0</v>
      </c>
      <c r="G13" s="258">
        <f>D13+F13</f>
        <v>0</v>
      </c>
      <c r="H13" s="258">
        <f>ROUND($D13/((1+H$11)^($B13-$C$8)),0)</f>
        <v>0</v>
      </c>
      <c r="I13" s="259">
        <f>ROUND($D13/((1+I$11)^($B13-$C$8)),0)</f>
        <v>0</v>
      </c>
    </row>
    <row r="14" spans="1:47" ht="14.45" customHeight="1">
      <c r="A14" s="463">
        <f>IF((B14&gt;(Inputs!$B$7+Inputs!$B$8)),0,IF((B14&lt;Inputs!$B$7),0,((B14-Inputs!$B$7))))</f>
        <v>0</v>
      </c>
      <c r="B14" s="255">
        <f>B13+1</f>
        <v>2019</v>
      </c>
      <c r="C14" s="261">
        <f>'Incident Management Calculation'!I76</f>
        <v>37932.872650000005</v>
      </c>
      <c r="D14" s="262">
        <f>IF((A14&gt;0),(C14*$C$5),0)</f>
        <v>0</v>
      </c>
      <c r="E14" s="261">
        <f>'Incident Management Calculation'!I81</f>
        <v>2523.8105555555558</v>
      </c>
      <c r="F14" s="262">
        <f>IF((A14&gt;0),(E14*$F$5),0)</f>
        <v>0</v>
      </c>
      <c r="G14" s="262">
        <f>D14+F14</f>
        <v>0</v>
      </c>
      <c r="H14" s="258">
        <f>ROUND($G14/((1+H$11)^($B14-$C$8)),0)</f>
        <v>0</v>
      </c>
      <c r="I14" s="259">
        <f>ROUND($G14/((1+I$11)^($B14-$C$8)),0)</f>
        <v>0</v>
      </c>
    </row>
    <row r="15" spans="1:47">
      <c r="A15" s="463">
        <f>IF((B15&gt;(Inputs!$B$7+Inputs!$B$8)),0,IF((B15&lt;Inputs!$B$7),0,((B15-Inputs!$B$7))))</f>
        <v>0</v>
      </c>
      <c r="B15" s="255">
        <f t="shared" ref="B15:B55" si="0">B14+1</f>
        <v>2020</v>
      </c>
      <c r="C15" s="261">
        <f>$C$14+(($C$40-$C$14)/($B$40-$B$14)*(B15-$B$14))</f>
        <v>39410.177920218004</v>
      </c>
      <c r="D15" s="262">
        <f t="shared" ref="D15:D55" si="1">IF((A15&gt;0),(C15*$C$5),0)</f>
        <v>0</v>
      </c>
      <c r="E15" s="261">
        <f>$E$14+(($E$40-$E$14)/($B$40-$B$14)*(B15-$B$14))</f>
        <v>2622.1009926958086</v>
      </c>
      <c r="F15" s="262">
        <f t="shared" ref="F15:F55" si="2">IF((A15&gt;0),(E15*$F$5),0)</f>
        <v>0</v>
      </c>
      <c r="G15" s="262">
        <f t="shared" ref="G15:G54" si="3">D15+F15</f>
        <v>0</v>
      </c>
      <c r="H15" s="258">
        <f t="shared" ref="H15:I55" si="4">ROUND($G15/((1+H$11)^($B15-$C$8)),0)</f>
        <v>0</v>
      </c>
      <c r="I15" s="259">
        <f t="shared" si="4"/>
        <v>0</v>
      </c>
    </row>
    <row r="16" spans="1:47">
      <c r="A16" s="463">
        <f>IF((B16&gt;(Inputs!$B$7+Inputs!$B$8)),0,IF((B16&lt;Inputs!$B$7),0,((B16-Inputs!$B$7))))</f>
        <v>0</v>
      </c>
      <c r="B16" s="255">
        <f t="shared" si="0"/>
        <v>2021</v>
      </c>
      <c r="C16" s="261">
        <f t="shared" ref="C16:C39" si="5">$C$14+(($C$40-$C$14)/($B$40-$B$14)*(B16-$B$14))</f>
        <v>40887.483190436011</v>
      </c>
      <c r="D16" s="262">
        <f t="shared" si="1"/>
        <v>0</v>
      </c>
      <c r="E16" s="261">
        <f t="shared" ref="E16:E39" si="6">$E$14+(($E$40-$E$14)/($B$40-$B$14)*(B16-$B$14))</f>
        <v>2720.3914298360619</v>
      </c>
      <c r="F16" s="262">
        <f t="shared" si="2"/>
        <v>0</v>
      </c>
      <c r="G16" s="262">
        <f t="shared" si="3"/>
        <v>0</v>
      </c>
      <c r="H16" s="258">
        <f t="shared" si="4"/>
        <v>0</v>
      </c>
      <c r="I16" s="259">
        <f t="shared" si="4"/>
        <v>0</v>
      </c>
    </row>
    <row r="17" spans="1:9">
      <c r="A17" s="463">
        <f>IF((B17&gt;(Inputs!$B$7+Inputs!$B$8)),0,IF((B17&lt;Inputs!$B$7),0,((B17-Inputs!$B$7))))</f>
        <v>0</v>
      </c>
      <c r="B17" s="255">
        <f t="shared" si="0"/>
        <v>2022</v>
      </c>
      <c r="C17" s="261">
        <f t="shared" si="5"/>
        <v>42364.78846065401</v>
      </c>
      <c r="D17" s="262">
        <f t="shared" si="1"/>
        <v>0</v>
      </c>
      <c r="E17" s="261">
        <f t="shared" si="6"/>
        <v>2818.6818669763147</v>
      </c>
      <c r="F17" s="262">
        <f t="shared" si="2"/>
        <v>0</v>
      </c>
      <c r="G17" s="262">
        <f t="shared" si="3"/>
        <v>0</v>
      </c>
      <c r="H17" s="258">
        <f t="shared" si="4"/>
        <v>0</v>
      </c>
      <c r="I17" s="259">
        <f t="shared" si="4"/>
        <v>0</v>
      </c>
    </row>
    <row r="18" spans="1:9">
      <c r="A18" s="463">
        <f>IF((B18&gt;(Inputs!$B$7+Inputs!$B$8)),0,IF((B18&lt;Inputs!$B$7),0,((B18-Inputs!$B$7))))</f>
        <v>0</v>
      </c>
      <c r="B18" s="255">
        <f t="shared" si="0"/>
        <v>2023</v>
      </c>
      <c r="C18" s="261">
        <f t="shared" si="5"/>
        <v>43842.093730872017</v>
      </c>
      <c r="D18" s="262">
        <f t="shared" si="1"/>
        <v>0</v>
      </c>
      <c r="E18" s="261">
        <f t="shared" si="6"/>
        <v>2916.9723041165676</v>
      </c>
      <c r="F18" s="262">
        <f t="shared" si="2"/>
        <v>0</v>
      </c>
      <c r="G18" s="262">
        <f t="shared" si="3"/>
        <v>0</v>
      </c>
      <c r="H18" s="258">
        <f t="shared" si="4"/>
        <v>0</v>
      </c>
      <c r="I18" s="259">
        <f t="shared" si="4"/>
        <v>0</v>
      </c>
    </row>
    <row r="19" spans="1:9">
      <c r="A19" s="463">
        <f>IF((B19&gt;(Inputs!$B$7+Inputs!$B$8)),0,IF((B19&lt;Inputs!$B$7),0,((B19-Inputs!$B$7))))</f>
        <v>0</v>
      </c>
      <c r="B19" s="255">
        <f t="shared" si="0"/>
        <v>2024</v>
      </c>
      <c r="C19" s="261">
        <f t="shared" si="5"/>
        <v>45319.399001090016</v>
      </c>
      <c r="D19" s="262">
        <f t="shared" si="1"/>
        <v>0</v>
      </c>
      <c r="E19" s="261">
        <f t="shared" si="6"/>
        <v>3015.2627412568208</v>
      </c>
      <c r="F19" s="262">
        <f t="shared" si="2"/>
        <v>0</v>
      </c>
      <c r="G19" s="262">
        <f t="shared" si="3"/>
        <v>0</v>
      </c>
      <c r="H19" s="258">
        <f t="shared" si="4"/>
        <v>0</v>
      </c>
      <c r="I19" s="259">
        <f t="shared" si="4"/>
        <v>0</v>
      </c>
    </row>
    <row r="20" spans="1:9">
      <c r="A20" s="463">
        <f>IF((B20&gt;(Inputs!$B$7+Inputs!$B$8)),0,IF((B20&lt;Inputs!$B$7),0,((B20-Inputs!$B$7))))</f>
        <v>0</v>
      </c>
      <c r="B20" s="255">
        <f t="shared" si="0"/>
        <v>2025</v>
      </c>
      <c r="C20" s="261">
        <f t="shared" si="5"/>
        <v>46796.704271308015</v>
      </c>
      <c r="D20" s="262">
        <f t="shared" si="1"/>
        <v>0</v>
      </c>
      <c r="E20" s="261">
        <f t="shared" si="6"/>
        <v>3113.5531783970737</v>
      </c>
      <c r="F20" s="262">
        <f t="shared" si="2"/>
        <v>0</v>
      </c>
      <c r="G20" s="262">
        <f t="shared" si="3"/>
        <v>0</v>
      </c>
      <c r="H20" s="258">
        <f t="shared" si="4"/>
        <v>0</v>
      </c>
      <c r="I20" s="259">
        <f t="shared" si="4"/>
        <v>0</v>
      </c>
    </row>
    <row r="21" spans="1:9">
      <c r="A21" s="463">
        <f>IF((B21&gt;(Inputs!$B$7+Inputs!$B$8)),0,IF((B21&lt;Inputs!$B$7),0,((B21-Inputs!$B$7))))</f>
        <v>1</v>
      </c>
      <c r="B21" s="255">
        <f t="shared" si="0"/>
        <v>2026</v>
      </c>
      <c r="C21" s="261">
        <f t="shared" si="5"/>
        <v>48274.009541526015</v>
      </c>
      <c r="D21" s="262">
        <f t="shared" si="1"/>
        <v>801348.55838933191</v>
      </c>
      <c r="E21" s="261">
        <f t="shared" si="6"/>
        <v>3211.8436155373265</v>
      </c>
      <c r="F21" s="262">
        <f t="shared" si="2"/>
        <v>252515.81953760987</v>
      </c>
      <c r="G21" s="262">
        <f t="shared" si="3"/>
        <v>1053864.3779269417</v>
      </c>
      <c r="H21" s="258">
        <f t="shared" si="4"/>
        <v>702234</v>
      </c>
      <c r="I21" s="259">
        <f t="shared" si="4"/>
        <v>882595</v>
      </c>
    </row>
    <row r="22" spans="1:9">
      <c r="A22" s="463">
        <f>IF((B22&gt;(Inputs!$B$7+Inputs!$B$8)),0,IF((B22&lt;Inputs!$B$7),0,((B22-Inputs!$B$7))))</f>
        <v>2</v>
      </c>
      <c r="B22" s="255">
        <f t="shared" si="0"/>
        <v>2027</v>
      </c>
      <c r="C22" s="261">
        <f t="shared" si="5"/>
        <v>49751.314811744021</v>
      </c>
      <c r="D22" s="262">
        <f t="shared" si="1"/>
        <v>825871.82587495085</v>
      </c>
      <c r="E22" s="261">
        <f t="shared" si="6"/>
        <v>3310.1340526775793</v>
      </c>
      <c r="F22" s="262">
        <f t="shared" si="2"/>
        <v>260243.43434647366</v>
      </c>
      <c r="G22" s="262">
        <f t="shared" si="3"/>
        <v>1086115.2602214245</v>
      </c>
      <c r="H22" s="258">
        <f t="shared" si="4"/>
        <v>676378</v>
      </c>
      <c r="I22" s="259">
        <f t="shared" si="4"/>
        <v>883111</v>
      </c>
    </row>
    <row r="23" spans="1:9">
      <c r="A23" s="463">
        <f>IF((B23&gt;(Inputs!$B$7+Inputs!$B$8)),0,IF((B23&lt;Inputs!$B$7),0,((B23-Inputs!$B$7))))</f>
        <v>3</v>
      </c>
      <c r="B23" s="255">
        <f t="shared" si="0"/>
        <v>2028</v>
      </c>
      <c r="C23" s="261">
        <f t="shared" si="5"/>
        <v>51228.620081962028</v>
      </c>
      <c r="D23" s="262">
        <f t="shared" si="1"/>
        <v>850395.09336056979</v>
      </c>
      <c r="E23" s="261">
        <f t="shared" si="6"/>
        <v>3408.4244898178326</v>
      </c>
      <c r="F23" s="262">
        <f t="shared" si="2"/>
        <v>267971.0491553375</v>
      </c>
      <c r="G23" s="262">
        <f t="shared" si="3"/>
        <v>1118366.1425159073</v>
      </c>
      <c r="H23" s="258">
        <f t="shared" si="4"/>
        <v>650899</v>
      </c>
      <c r="I23" s="259">
        <f t="shared" si="4"/>
        <v>882849</v>
      </c>
    </row>
    <row r="24" spans="1:9">
      <c r="A24" s="463">
        <f>IF((B24&gt;(Inputs!$B$7+Inputs!$B$8)),0,IF((B24&lt;Inputs!$B$7),0,((B24-Inputs!$B$7))))</f>
        <v>4</v>
      </c>
      <c r="B24" s="255">
        <f t="shared" si="0"/>
        <v>2029</v>
      </c>
      <c r="C24" s="261">
        <f t="shared" si="5"/>
        <v>52705.925352180027</v>
      </c>
      <c r="D24" s="262">
        <f t="shared" si="1"/>
        <v>874918.3608461885</v>
      </c>
      <c r="E24" s="261">
        <f t="shared" si="6"/>
        <v>3506.7149269580855</v>
      </c>
      <c r="F24" s="262">
        <f t="shared" si="2"/>
        <v>275698.66396420129</v>
      </c>
      <c r="G24" s="262">
        <f t="shared" si="3"/>
        <v>1150617.0248103898</v>
      </c>
      <c r="H24" s="258">
        <f t="shared" si="4"/>
        <v>625859</v>
      </c>
      <c r="I24" s="259">
        <f t="shared" si="4"/>
        <v>881852</v>
      </c>
    </row>
    <row r="25" spans="1:9">
      <c r="A25" s="463">
        <f>IF((B25&gt;(Inputs!$B$7+Inputs!$B$8)),0,IF((B25&lt;Inputs!$B$7),0,((B25-Inputs!$B$7))))</f>
        <v>5</v>
      </c>
      <c r="B25" s="255">
        <f t="shared" si="0"/>
        <v>2030</v>
      </c>
      <c r="C25" s="261">
        <f t="shared" si="5"/>
        <v>54183.230622398027</v>
      </c>
      <c r="D25" s="262">
        <f t="shared" si="1"/>
        <v>899441.62833180733</v>
      </c>
      <c r="E25" s="261">
        <f t="shared" si="6"/>
        <v>3605.0053640983388</v>
      </c>
      <c r="F25" s="262">
        <f t="shared" si="2"/>
        <v>283426.27877306513</v>
      </c>
      <c r="G25" s="262">
        <f t="shared" si="3"/>
        <v>1182867.9071048724</v>
      </c>
      <c r="H25" s="258">
        <f t="shared" si="4"/>
        <v>601310</v>
      </c>
      <c r="I25" s="259">
        <f t="shared" si="4"/>
        <v>880165</v>
      </c>
    </row>
    <row r="26" spans="1:9">
      <c r="A26" s="463">
        <f>IF((B26&gt;(Inputs!$B$7+Inputs!$B$8)),0,IF((B26&lt;Inputs!$B$7),0,((B26-Inputs!$B$7))))</f>
        <v>6</v>
      </c>
      <c r="B26" s="255">
        <f t="shared" si="0"/>
        <v>2031</v>
      </c>
      <c r="C26" s="261">
        <f t="shared" si="5"/>
        <v>55660.535892616026</v>
      </c>
      <c r="D26" s="262">
        <f t="shared" si="1"/>
        <v>923964.89581742615</v>
      </c>
      <c r="E26" s="261">
        <f t="shared" si="6"/>
        <v>3703.2958012385916</v>
      </c>
      <c r="F26" s="262">
        <f t="shared" si="2"/>
        <v>291153.89358192892</v>
      </c>
      <c r="G26" s="262">
        <f t="shared" si="3"/>
        <v>1215118.7893993552</v>
      </c>
      <c r="H26" s="258">
        <f t="shared" si="4"/>
        <v>577294</v>
      </c>
      <c r="I26" s="259">
        <f t="shared" si="4"/>
        <v>877828</v>
      </c>
    </row>
    <row r="27" spans="1:9">
      <c r="A27" s="463">
        <f>IF((B27&gt;(Inputs!$B$7+Inputs!$B$8)),0,IF((B27&lt;Inputs!$B$7),0,((B27-Inputs!$B$7))))</f>
        <v>7</v>
      </c>
      <c r="B27" s="255">
        <f t="shared" si="0"/>
        <v>2032</v>
      </c>
      <c r="C27" s="261">
        <f t="shared" si="5"/>
        <v>57137.841162834033</v>
      </c>
      <c r="D27" s="262">
        <f t="shared" si="1"/>
        <v>948488.16330304497</v>
      </c>
      <c r="E27" s="261">
        <f t="shared" si="6"/>
        <v>3801.5862383788444</v>
      </c>
      <c r="F27" s="262">
        <f t="shared" si="2"/>
        <v>298881.5083907927</v>
      </c>
      <c r="G27" s="262">
        <f t="shared" si="3"/>
        <v>1247369.6716938377</v>
      </c>
      <c r="H27" s="258">
        <f t="shared" si="4"/>
        <v>553847</v>
      </c>
      <c r="I27" s="259">
        <f t="shared" si="4"/>
        <v>874880</v>
      </c>
    </row>
    <row r="28" spans="1:9">
      <c r="A28" s="463">
        <f>IF((B28&gt;(Inputs!$B$7+Inputs!$B$8)),0,IF((B28&lt;Inputs!$B$7),0,((B28-Inputs!$B$7))))</f>
        <v>8</v>
      </c>
      <c r="B28" s="255">
        <f t="shared" si="0"/>
        <v>2033</v>
      </c>
      <c r="C28" s="261">
        <f t="shared" si="5"/>
        <v>58615.146433052032</v>
      </c>
      <c r="D28" s="262">
        <f t="shared" si="1"/>
        <v>973011.4307886638</v>
      </c>
      <c r="E28" s="261">
        <f t="shared" si="6"/>
        <v>3899.8766755190973</v>
      </c>
      <c r="F28" s="262">
        <f t="shared" si="2"/>
        <v>306609.12319965649</v>
      </c>
      <c r="G28" s="262">
        <f t="shared" si="3"/>
        <v>1279620.5539883203</v>
      </c>
      <c r="H28" s="258">
        <f t="shared" si="4"/>
        <v>530997</v>
      </c>
      <c r="I28" s="259">
        <f t="shared" si="4"/>
        <v>871359</v>
      </c>
    </row>
    <row r="29" spans="1:9">
      <c r="A29" s="463">
        <f>IF((B29&gt;(Inputs!$B$7+Inputs!$B$8)),0,IF((B29&lt;Inputs!$B$7),0,((B29-Inputs!$B$7))))</f>
        <v>9</v>
      </c>
      <c r="B29" s="255">
        <f t="shared" si="0"/>
        <v>2034</v>
      </c>
      <c r="C29" s="261">
        <f t="shared" si="5"/>
        <v>60092.451703270039</v>
      </c>
      <c r="D29" s="262">
        <f t="shared" si="1"/>
        <v>997534.69827428274</v>
      </c>
      <c r="E29" s="261">
        <f t="shared" si="6"/>
        <v>3998.1671126593501</v>
      </c>
      <c r="F29" s="262">
        <f t="shared" si="2"/>
        <v>314336.73800852027</v>
      </c>
      <c r="G29" s="262">
        <f t="shared" si="3"/>
        <v>1311871.4362828031</v>
      </c>
      <c r="H29" s="258">
        <f t="shared" si="4"/>
        <v>508766</v>
      </c>
      <c r="I29" s="259">
        <f t="shared" si="4"/>
        <v>867302</v>
      </c>
    </row>
    <row r="30" spans="1:9">
      <c r="A30" s="463">
        <f>IF((B30&gt;(Inputs!$B$7+Inputs!$B$8)),0,IF((B30&lt;Inputs!$B$7),0,((B30-Inputs!$B$7))))</f>
        <v>10</v>
      </c>
      <c r="B30" s="255">
        <f t="shared" si="0"/>
        <v>2035</v>
      </c>
      <c r="C30" s="261">
        <f t="shared" si="5"/>
        <v>61569.756973488038</v>
      </c>
      <c r="D30" s="262">
        <f t="shared" si="1"/>
        <v>1022057.9657599016</v>
      </c>
      <c r="E30" s="261">
        <f t="shared" si="6"/>
        <v>4096.4575497996029</v>
      </c>
      <c r="F30" s="262">
        <f t="shared" si="2"/>
        <v>322064.35281738406</v>
      </c>
      <c r="G30" s="262">
        <f t="shared" si="3"/>
        <v>1344122.3185772856</v>
      </c>
      <c r="H30" s="258">
        <f t="shared" si="4"/>
        <v>487172</v>
      </c>
      <c r="I30" s="259">
        <f t="shared" si="4"/>
        <v>862741</v>
      </c>
    </row>
    <row r="31" spans="1:9">
      <c r="A31" s="463">
        <f>IF((B31&gt;(Inputs!$B$7+Inputs!$B$8)),0,IF((B31&lt;Inputs!$B$7),0,((B31-Inputs!$B$7))))</f>
        <v>11</v>
      </c>
      <c r="B31" s="255">
        <f t="shared" si="0"/>
        <v>2036</v>
      </c>
      <c r="C31" s="261">
        <f t="shared" si="5"/>
        <v>63047.062243706037</v>
      </c>
      <c r="D31" s="262">
        <f t="shared" si="1"/>
        <v>1046581.2332455203</v>
      </c>
      <c r="E31" s="261">
        <f t="shared" si="6"/>
        <v>4194.7479869398567</v>
      </c>
      <c r="F31" s="262">
        <f t="shared" si="2"/>
        <v>329791.96762624796</v>
      </c>
      <c r="G31" s="262">
        <f t="shared" si="3"/>
        <v>1376373.2008717682</v>
      </c>
      <c r="H31" s="258">
        <f t="shared" si="4"/>
        <v>466225</v>
      </c>
      <c r="I31" s="259">
        <f t="shared" si="4"/>
        <v>857710</v>
      </c>
    </row>
    <row r="32" spans="1:9">
      <c r="A32" s="463">
        <f>IF((B32&gt;(Inputs!$B$7+Inputs!$B$8)),0,IF((B32&lt;Inputs!$B$7),0,((B32-Inputs!$B$7))))</f>
        <v>12</v>
      </c>
      <c r="B32" s="255">
        <f t="shared" si="0"/>
        <v>2037</v>
      </c>
      <c r="C32" s="261">
        <f t="shared" si="5"/>
        <v>64524.367513924044</v>
      </c>
      <c r="D32" s="262">
        <f t="shared" si="1"/>
        <v>1071104.5007311392</v>
      </c>
      <c r="E32" s="261">
        <f t="shared" si="6"/>
        <v>4293.0384240801095</v>
      </c>
      <c r="F32" s="262">
        <f t="shared" si="2"/>
        <v>337519.58243511175</v>
      </c>
      <c r="G32" s="262">
        <f t="shared" si="3"/>
        <v>1408624.083166251</v>
      </c>
      <c r="H32" s="258">
        <f t="shared" si="4"/>
        <v>445934</v>
      </c>
      <c r="I32" s="259">
        <f t="shared" si="4"/>
        <v>852241</v>
      </c>
    </row>
    <row r="33" spans="1:9">
      <c r="A33" s="463">
        <f>IF((B33&gt;(Inputs!$B$7+Inputs!$B$8)),0,IF((B33&lt;Inputs!$B$7),0,((B33-Inputs!$B$7))))</f>
        <v>13</v>
      </c>
      <c r="B33" s="255">
        <f t="shared" si="0"/>
        <v>2038</v>
      </c>
      <c r="C33" s="261">
        <f t="shared" si="5"/>
        <v>66001.672784142051</v>
      </c>
      <c r="D33" s="262">
        <f t="shared" si="1"/>
        <v>1095627.768216758</v>
      </c>
      <c r="E33" s="261">
        <f t="shared" si="6"/>
        <v>4391.3288612203623</v>
      </c>
      <c r="F33" s="262">
        <f t="shared" si="2"/>
        <v>345247.19724397553</v>
      </c>
      <c r="G33" s="262">
        <f t="shared" si="3"/>
        <v>1440874.9654607335</v>
      </c>
      <c r="H33" s="258">
        <f t="shared" si="4"/>
        <v>426303</v>
      </c>
      <c r="I33" s="259">
        <f t="shared" si="4"/>
        <v>846362</v>
      </c>
    </row>
    <row r="34" spans="1:9">
      <c r="A34" s="463">
        <f>IF((B34&gt;(Inputs!$B$7+Inputs!$B$8)),0,IF((B34&lt;Inputs!$B$7),0,((B34-Inputs!$B$7))))</f>
        <v>14</v>
      </c>
      <c r="B34" s="255">
        <f t="shared" si="0"/>
        <v>2039</v>
      </c>
      <c r="C34" s="261">
        <f t="shared" si="5"/>
        <v>67478.97805436005</v>
      </c>
      <c r="D34" s="262">
        <f t="shared" si="1"/>
        <v>1120151.0357023769</v>
      </c>
      <c r="E34" s="261">
        <f t="shared" si="6"/>
        <v>4489.6192983606152</v>
      </c>
      <c r="F34" s="262">
        <f t="shared" si="2"/>
        <v>352974.81205283932</v>
      </c>
      <c r="G34" s="262">
        <f t="shared" si="3"/>
        <v>1473125.8477552161</v>
      </c>
      <c r="H34" s="264">
        <f t="shared" si="4"/>
        <v>407332</v>
      </c>
      <c r="I34" s="265">
        <f t="shared" si="4"/>
        <v>840103</v>
      </c>
    </row>
    <row r="35" spans="1:9">
      <c r="A35" s="463">
        <f>IF((B35&gt;(Inputs!$B$7+Inputs!$B$8)),0,IF((B35&lt;Inputs!$B$7),0,((B35-Inputs!$B$7))))</f>
        <v>15</v>
      </c>
      <c r="B35" s="255">
        <f t="shared" si="0"/>
        <v>2040</v>
      </c>
      <c r="C35" s="261">
        <f t="shared" si="5"/>
        <v>68956.283324578049</v>
      </c>
      <c r="D35" s="262">
        <f t="shared" si="1"/>
        <v>1144674.3031879957</v>
      </c>
      <c r="E35" s="261">
        <f t="shared" si="6"/>
        <v>4587.9097355008689</v>
      </c>
      <c r="F35" s="262">
        <f t="shared" si="2"/>
        <v>360702.42686170316</v>
      </c>
      <c r="G35" s="262">
        <f t="shared" si="3"/>
        <v>1505376.7300496988</v>
      </c>
      <c r="H35" s="258">
        <f t="shared" si="4"/>
        <v>389018</v>
      </c>
      <c r="I35" s="259">
        <f t="shared" si="4"/>
        <v>833491</v>
      </c>
    </row>
    <row r="36" spans="1:9">
      <c r="A36" s="463">
        <f>IF((B36&gt;(Inputs!$B$7+Inputs!$B$8)),0,IF((B36&lt;Inputs!$B$7),0,((B36-Inputs!$B$7))))</f>
        <v>16</v>
      </c>
      <c r="B36" s="255">
        <f t="shared" si="0"/>
        <v>2041</v>
      </c>
      <c r="C36" s="261">
        <f t="shared" si="5"/>
        <v>70433.588594796049</v>
      </c>
      <c r="D36" s="262">
        <f t="shared" si="1"/>
        <v>1169197.5706736145</v>
      </c>
      <c r="E36" s="261">
        <f t="shared" si="6"/>
        <v>4686.2001726411218</v>
      </c>
      <c r="F36" s="262">
        <f t="shared" si="2"/>
        <v>368430.04167056701</v>
      </c>
      <c r="G36" s="262">
        <f t="shared" si="3"/>
        <v>1537627.6123441816</v>
      </c>
      <c r="H36" s="258">
        <f t="shared" si="4"/>
        <v>371357</v>
      </c>
      <c r="I36" s="259">
        <f t="shared" si="4"/>
        <v>826551</v>
      </c>
    </row>
    <row r="37" spans="1:9">
      <c r="A37" s="463">
        <f>IF((B37&gt;(Inputs!$B$7+Inputs!$B$8)),0,IF((B37&lt;Inputs!$B$7),0,((B37-Inputs!$B$7))))</f>
        <v>17</v>
      </c>
      <c r="B37" s="255">
        <f t="shared" si="0"/>
        <v>2042</v>
      </c>
      <c r="C37" s="261">
        <f t="shared" si="5"/>
        <v>71910.893865014048</v>
      </c>
      <c r="D37" s="262">
        <f t="shared" si="1"/>
        <v>1193720.8381592333</v>
      </c>
      <c r="E37" s="261">
        <f t="shared" si="6"/>
        <v>4784.4906097813746</v>
      </c>
      <c r="F37" s="262">
        <f t="shared" si="2"/>
        <v>376157.65647943079</v>
      </c>
      <c r="G37" s="262">
        <f t="shared" si="3"/>
        <v>1569878.4946386642</v>
      </c>
      <c r="H37" s="258">
        <f t="shared" si="4"/>
        <v>354342</v>
      </c>
      <c r="I37" s="259">
        <f t="shared" si="4"/>
        <v>819308</v>
      </c>
    </row>
    <row r="38" spans="1:9">
      <c r="A38" s="463">
        <f>IF((B38&gt;(Inputs!$B$7+Inputs!$B$8)),0,IF((B38&lt;Inputs!$B$7),0,((B38-Inputs!$B$7))))</f>
        <v>18</v>
      </c>
      <c r="B38" s="255">
        <f t="shared" si="0"/>
        <v>2043</v>
      </c>
      <c r="C38" s="261">
        <f t="shared" si="5"/>
        <v>73388.199135232047</v>
      </c>
      <c r="D38" s="262">
        <f t="shared" si="1"/>
        <v>1218244.1056448522</v>
      </c>
      <c r="E38" s="261">
        <f t="shared" si="6"/>
        <v>4882.7810469216274</v>
      </c>
      <c r="F38" s="262">
        <f t="shared" si="2"/>
        <v>383885.27128829458</v>
      </c>
      <c r="G38" s="262">
        <f t="shared" si="3"/>
        <v>1602129.3769331467</v>
      </c>
      <c r="H38" s="258">
        <f t="shared" si="4"/>
        <v>337964</v>
      </c>
      <c r="I38" s="259">
        <f t="shared" si="4"/>
        <v>811786</v>
      </c>
    </row>
    <row r="39" spans="1:9">
      <c r="A39" s="463">
        <f>IF((B39&gt;(Inputs!$B$7+Inputs!$B$8)),0,IF((B39&lt;Inputs!$B$7),0,((B39-Inputs!$B$7))))</f>
        <v>19</v>
      </c>
      <c r="B39" s="255">
        <f t="shared" si="0"/>
        <v>2044</v>
      </c>
      <c r="C39" s="261">
        <f t="shared" si="5"/>
        <v>74865.504405450047</v>
      </c>
      <c r="D39" s="262">
        <f t="shared" si="1"/>
        <v>1242767.373130471</v>
      </c>
      <c r="E39" s="261">
        <f t="shared" si="6"/>
        <v>4981.0714840618803</v>
      </c>
      <c r="F39" s="262">
        <f t="shared" si="2"/>
        <v>391612.88609715836</v>
      </c>
      <c r="G39" s="262">
        <f t="shared" si="3"/>
        <v>1634380.2592276293</v>
      </c>
      <c r="H39" s="258">
        <f t="shared" si="4"/>
        <v>322213</v>
      </c>
      <c r="I39" s="259">
        <f t="shared" si="4"/>
        <v>804007</v>
      </c>
    </row>
    <row r="40" spans="1:9">
      <c r="A40" s="463">
        <f>IF((B40&gt;(Inputs!$B$7+Inputs!$B$8)),0,IF((B40&lt;Inputs!$B$7),0,((B40-Inputs!$B$7))))</f>
        <v>20</v>
      </c>
      <c r="B40" s="255">
        <f t="shared" si="0"/>
        <v>2045</v>
      </c>
      <c r="C40" s="261">
        <f>'Incident Management Calculation'!T76</f>
        <v>76342.809675668061</v>
      </c>
      <c r="D40" s="262">
        <f t="shared" si="1"/>
        <v>1267290.6406160898</v>
      </c>
      <c r="E40" s="261">
        <f>'Incident Management Calculation'!T81</f>
        <v>5079.3619212021331</v>
      </c>
      <c r="F40" s="262">
        <f t="shared" si="2"/>
        <v>399340.50090602215</v>
      </c>
      <c r="G40" s="262">
        <f t="shared" si="3"/>
        <v>1666631.1415221118</v>
      </c>
      <c r="H40" s="258">
        <f t="shared" si="4"/>
        <v>307075</v>
      </c>
      <c r="I40" s="259">
        <f t="shared" si="4"/>
        <v>795992</v>
      </c>
    </row>
    <row r="41" spans="1:9">
      <c r="A41" s="463">
        <f>IF((B41&gt;(Inputs!$B$7+Inputs!$B$8)),0,IF((B41&lt;Inputs!$B$7),0,((B41-Inputs!$B$7))))</f>
        <v>21</v>
      </c>
      <c r="B41" s="255">
        <f t="shared" si="0"/>
        <v>2046</v>
      </c>
      <c r="C41" s="261">
        <f>$C$40</f>
        <v>76342.809675668061</v>
      </c>
      <c r="D41" s="262">
        <f t="shared" si="1"/>
        <v>1267290.6406160898</v>
      </c>
      <c r="E41" s="261">
        <f>E40</f>
        <v>5079.3619212021331</v>
      </c>
      <c r="F41" s="262">
        <f t="shared" si="2"/>
        <v>399340.50090602215</v>
      </c>
      <c r="G41" s="262">
        <f t="shared" si="3"/>
        <v>1666631.1415221118</v>
      </c>
      <c r="H41" s="258">
        <f t="shared" si="4"/>
        <v>286986</v>
      </c>
      <c r="I41" s="259">
        <f t="shared" si="4"/>
        <v>772808</v>
      </c>
    </row>
    <row r="42" spans="1:9">
      <c r="A42" s="463">
        <f>IF((B42&gt;(Inputs!$B$7+Inputs!$B$8)),0,IF((B42&lt;Inputs!$B$7),0,((B42-Inputs!$B$7))))</f>
        <v>22</v>
      </c>
      <c r="B42" s="255">
        <f t="shared" si="0"/>
        <v>2047</v>
      </c>
      <c r="C42" s="261">
        <f t="shared" ref="C42:C55" si="7">$C$40</f>
        <v>76342.809675668061</v>
      </c>
      <c r="D42" s="262">
        <f t="shared" si="1"/>
        <v>1267290.6406160898</v>
      </c>
      <c r="E42" s="261">
        <f t="shared" ref="E42:E55" si="8">E41</f>
        <v>5079.3619212021331</v>
      </c>
      <c r="F42" s="262">
        <f t="shared" si="2"/>
        <v>399340.50090602215</v>
      </c>
      <c r="G42" s="262">
        <f t="shared" si="3"/>
        <v>1666631.1415221118</v>
      </c>
      <c r="H42" s="258">
        <f t="shared" si="4"/>
        <v>268212</v>
      </c>
      <c r="I42" s="259">
        <f t="shared" si="4"/>
        <v>750299</v>
      </c>
    </row>
    <row r="43" spans="1:9">
      <c r="A43" s="463">
        <f>IF((B43&gt;(Inputs!$B$7+Inputs!$B$8)),0,IF((B43&lt;Inputs!$B$7),0,((B43-Inputs!$B$7))))</f>
        <v>23</v>
      </c>
      <c r="B43" s="255">
        <f t="shared" si="0"/>
        <v>2048</v>
      </c>
      <c r="C43" s="261">
        <f t="shared" si="7"/>
        <v>76342.809675668061</v>
      </c>
      <c r="D43" s="262">
        <f t="shared" si="1"/>
        <v>1267290.6406160898</v>
      </c>
      <c r="E43" s="261">
        <f t="shared" si="8"/>
        <v>5079.3619212021331</v>
      </c>
      <c r="F43" s="262">
        <f t="shared" si="2"/>
        <v>399340.50090602215</v>
      </c>
      <c r="G43" s="262">
        <f t="shared" si="3"/>
        <v>1666631.1415221118</v>
      </c>
      <c r="H43" s="258">
        <f t="shared" si="4"/>
        <v>250665</v>
      </c>
      <c r="I43" s="259">
        <f t="shared" si="4"/>
        <v>728446</v>
      </c>
    </row>
    <row r="44" spans="1:9">
      <c r="A44" s="463">
        <f>IF((B44&gt;(Inputs!$B$7+Inputs!$B$8)),0,IF((B44&lt;Inputs!$B$7),0,((B44-Inputs!$B$7))))</f>
        <v>24</v>
      </c>
      <c r="B44" s="255">
        <f t="shared" si="0"/>
        <v>2049</v>
      </c>
      <c r="C44" s="261">
        <f t="shared" si="7"/>
        <v>76342.809675668061</v>
      </c>
      <c r="D44" s="262">
        <f t="shared" si="1"/>
        <v>1267290.6406160898</v>
      </c>
      <c r="E44" s="261">
        <f t="shared" si="8"/>
        <v>5079.3619212021331</v>
      </c>
      <c r="F44" s="262">
        <f t="shared" si="2"/>
        <v>399340.50090602215</v>
      </c>
      <c r="G44" s="262">
        <f t="shared" si="3"/>
        <v>1666631.1415221118</v>
      </c>
      <c r="H44" s="258">
        <f t="shared" si="4"/>
        <v>234266</v>
      </c>
      <c r="I44" s="259">
        <f t="shared" si="4"/>
        <v>707229</v>
      </c>
    </row>
    <row r="45" spans="1:9">
      <c r="A45" s="463">
        <f>IF((B45&gt;(Inputs!$B$7+Inputs!$B$8)),0,IF((B45&lt;Inputs!$B$7),0,((B45-Inputs!$B$7))))</f>
        <v>25</v>
      </c>
      <c r="B45" s="255">
        <f t="shared" si="0"/>
        <v>2050</v>
      </c>
      <c r="C45" s="261">
        <f t="shared" si="7"/>
        <v>76342.809675668061</v>
      </c>
      <c r="D45" s="262">
        <f t="shared" si="1"/>
        <v>1267290.6406160898</v>
      </c>
      <c r="E45" s="261">
        <f t="shared" si="8"/>
        <v>5079.3619212021331</v>
      </c>
      <c r="F45" s="262">
        <f t="shared" si="2"/>
        <v>399340.50090602215</v>
      </c>
      <c r="G45" s="262">
        <f t="shared" si="3"/>
        <v>1666631.1415221118</v>
      </c>
      <c r="H45" s="258">
        <f t="shared" si="4"/>
        <v>218941</v>
      </c>
      <c r="I45" s="259">
        <f t="shared" si="4"/>
        <v>686630</v>
      </c>
    </row>
    <row r="46" spans="1:9">
      <c r="A46" s="463">
        <f>IF((B46&gt;(Inputs!$B$7+Inputs!$B$8)),0,IF((B46&lt;Inputs!$B$7),0,((B46-Inputs!$B$7))))</f>
        <v>26</v>
      </c>
      <c r="B46" s="255">
        <f t="shared" si="0"/>
        <v>2051</v>
      </c>
      <c r="C46" s="261">
        <f t="shared" si="7"/>
        <v>76342.809675668061</v>
      </c>
      <c r="D46" s="262">
        <f t="shared" si="1"/>
        <v>1267290.6406160898</v>
      </c>
      <c r="E46" s="261">
        <f t="shared" si="8"/>
        <v>5079.3619212021331</v>
      </c>
      <c r="F46" s="262">
        <f t="shared" si="2"/>
        <v>399340.50090602215</v>
      </c>
      <c r="G46" s="262">
        <f t="shared" si="3"/>
        <v>1666631.1415221118</v>
      </c>
      <c r="H46" s="258">
        <f t="shared" si="4"/>
        <v>204617</v>
      </c>
      <c r="I46" s="259">
        <f t="shared" si="4"/>
        <v>666631</v>
      </c>
    </row>
    <row r="47" spans="1:9">
      <c r="A47" s="463">
        <f>IF((B47&gt;(Inputs!$B$7+Inputs!$B$8)),0,IF((B47&lt;Inputs!$B$7),0,((B47-Inputs!$B$7))))</f>
        <v>27</v>
      </c>
      <c r="B47" s="255">
        <f t="shared" si="0"/>
        <v>2052</v>
      </c>
      <c r="C47" s="261">
        <f t="shared" si="7"/>
        <v>76342.809675668061</v>
      </c>
      <c r="D47" s="262">
        <f t="shared" si="1"/>
        <v>1267290.6406160898</v>
      </c>
      <c r="E47" s="261">
        <f t="shared" si="8"/>
        <v>5079.3619212021331</v>
      </c>
      <c r="F47" s="262">
        <f t="shared" si="2"/>
        <v>399340.50090602215</v>
      </c>
      <c r="G47" s="262">
        <f t="shared" si="3"/>
        <v>1666631.1415221118</v>
      </c>
      <c r="H47" s="258">
        <f t="shared" si="4"/>
        <v>191231</v>
      </c>
      <c r="I47" s="259">
        <f t="shared" si="4"/>
        <v>647215</v>
      </c>
    </row>
    <row r="48" spans="1:9">
      <c r="A48" s="463">
        <f>IF((B48&gt;(Inputs!$B$7+Inputs!$B$8)),0,IF((B48&lt;Inputs!$B$7),0,((B48-Inputs!$B$7))))</f>
        <v>28</v>
      </c>
      <c r="B48" s="255">
        <f t="shared" si="0"/>
        <v>2053</v>
      </c>
      <c r="C48" s="261">
        <f t="shared" si="7"/>
        <v>76342.809675668061</v>
      </c>
      <c r="D48" s="262">
        <f t="shared" si="1"/>
        <v>1267290.6406160898</v>
      </c>
      <c r="E48" s="261">
        <f t="shared" si="8"/>
        <v>5079.3619212021331</v>
      </c>
      <c r="F48" s="262">
        <f t="shared" si="2"/>
        <v>399340.50090602215</v>
      </c>
      <c r="G48" s="262">
        <f t="shared" si="3"/>
        <v>1666631.1415221118</v>
      </c>
      <c r="H48" s="258">
        <f t="shared" si="4"/>
        <v>178721</v>
      </c>
      <c r="I48" s="259">
        <f t="shared" si="4"/>
        <v>628364</v>
      </c>
    </row>
    <row r="49" spans="1:9">
      <c r="A49" s="463">
        <f>IF((B49&gt;(Inputs!$B$7+Inputs!$B$8)),0,IF((B49&lt;Inputs!$B$7),0,((B49-Inputs!$B$7))))</f>
        <v>29</v>
      </c>
      <c r="B49" s="255">
        <f t="shared" si="0"/>
        <v>2054</v>
      </c>
      <c r="C49" s="261">
        <f t="shared" si="7"/>
        <v>76342.809675668061</v>
      </c>
      <c r="D49" s="262">
        <f t="shared" si="1"/>
        <v>1267290.6406160898</v>
      </c>
      <c r="E49" s="261">
        <f t="shared" si="8"/>
        <v>5079.3619212021331</v>
      </c>
      <c r="F49" s="262">
        <f t="shared" si="2"/>
        <v>399340.50090602215</v>
      </c>
      <c r="G49" s="262">
        <f t="shared" si="3"/>
        <v>1666631.1415221118</v>
      </c>
      <c r="H49" s="258">
        <f t="shared" si="4"/>
        <v>167029</v>
      </c>
      <c r="I49" s="259">
        <f t="shared" si="4"/>
        <v>610062</v>
      </c>
    </row>
    <row r="50" spans="1:9">
      <c r="A50" s="463">
        <f>IF((B50&gt;(Inputs!$B$7+Inputs!$B$8)),0,IF((B50&lt;Inputs!$B$7),0,((B50-Inputs!$B$7))))</f>
        <v>30</v>
      </c>
      <c r="B50" s="255">
        <f t="shared" si="0"/>
        <v>2055</v>
      </c>
      <c r="C50" s="261">
        <f t="shared" si="7"/>
        <v>76342.809675668061</v>
      </c>
      <c r="D50" s="262">
        <f t="shared" si="1"/>
        <v>1267290.6406160898</v>
      </c>
      <c r="E50" s="261">
        <f t="shared" si="8"/>
        <v>5079.3619212021331</v>
      </c>
      <c r="F50" s="262">
        <f t="shared" si="2"/>
        <v>399340.50090602215</v>
      </c>
      <c r="G50" s="262">
        <f t="shared" si="3"/>
        <v>1666631.1415221118</v>
      </c>
      <c r="H50" s="258">
        <f t="shared" si="4"/>
        <v>156102</v>
      </c>
      <c r="I50" s="259">
        <f t="shared" si="4"/>
        <v>592293</v>
      </c>
    </row>
    <row r="51" spans="1:9">
      <c r="A51" s="463">
        <f>IF((B51&gt;(Inputs!$B$7+Inputs!$B$8)),0,IF((B51&lt;Inputs!$B$7),0,((B51-Inputs!$B$7))))</f>
        <v>0</v>
      </c>
      <c r="B51" s="255">
        <f t="shared" si="0"/>
        <v>2056</v>
      </c>
      <c r="C51" s="261">
        <f t="shared" si="7"/>
        <v>76342.809675668061</v>
      </c>
      <c r="D51" s="262">
        <f t="shared" si="1"/>
        <v>0</v>
      </c>
      <c r="E51" s="261">
        <f t="shared" si="8"/>
        <v>5079.3619212021331</v>
      </c>
      <c r="F51" s="262">
        <f t="shared" si="2"/>
        <v>0</v>
      </c>
      <c r="G51" s="262">
        <f t="shared" si="3"/>
        <v>0</v>
      </c>
      <c r="H51" s="258">
        <f t="shared" si="4"/>
        <v>0</v>
      </c>
      <c r="I51" s="259">
        <f t="shared" si="4"/>
        <v>0</v>
      </c>
    </row>
    <row r="52" spans="1:9">
      <c r="A52" s="463">
        <f>IF((B52&gt;(Inputs!$B$7+Inputs!$B$8)),0,IF((B52&lt;Inputs!$B$7),0,((B52-Inputs!$B$7))))</f>
        <v>0</v>
      </c>
      <c r="B52" s="255">
        <f t="shared" si="0"/>
        <v>2057</v>
      </c>
      <c r="C52" s="261">
        <f t="shared" si="7"/>
        <v>76342.809675668061</v>
      </c>
      <c r="D52" s="262">
        <f t="shared" si="1"/>
        <v>0</v>
      </c>
      <c r="E52" s="261">
        <f t="shared" si="8"/>
        <v>5079.3619212021331</v>
      </c>
      <c r="F52" s="262">
        <f t="shared" si="2"/>
        <v>0</v>
      </c>
      <c r="G52" s="262">
        <f t="shared" si="3"/>
        <v>0</v>
      </c>
      <c r="H52" s="258">
        <f t="shared" si="4"/>
        <v>0</v>
      </c>
      <c r="I52" s="259">
        <f t="shared" si="4"/>
        <v>0</v>
      </c>
    </row>
    <row r="53" spans="1:9">
      <c r="A53" s="463">
        <f>IF((B53&gt;(Inputs!$B$7+Inputs!$B$8)),0,IF((B53&lt;Inputs!$B$7),0,((B53-Inputs!$B$7))))</f>
        <v>0</v>
      </c>
      <c r="B53" s="255">
        <f t="shared" si="0"/>
        <v>2058</v>
      </c>
      <c r="C53" s="261">
        <f t="shared" si="7"/>
        <v>76342.809675668061</v>
      </c>
      <c r="D53" s="262">
        <f t="shared" si="1"/>
        <v>0</v>
      </c>
      <c r="E53" s="261">
        <f t="shared" si="8"/>
        <v>5079.3619212021331</v>
      </c>
      <c r="F53" s="262">
        <f t="shared" si="2"/>
        <v>0</v>
      </c>
      <c r="G53" s="262">
        <f t="shared" si="3"/>
        <v>0</v>
      </c>
      <c r="H53" s="258">
        <f t="shared" si="4"/>
        <v>0</v>
      </c>
      <c r="I53" s="259">
        <f t="shared" si="4"/>
        <v>0</v>
      </c>
    </row>
    <row r="54" spans="1:9">
      <c r="A54" s="463">
        <f>IF((B54&gt;(Inputs!$B$7+Inputs!$B$8)),0,IF((B54&lt;Inputs!$B$7),0,((B54-Inputs!$B$7))))</f>
        <v>0</v>
      </c>
      <c r="B54" s="255">
        <f t="shared" si="0"/>
        <v>2059</v>
      </c>
      <c r="C54" s="261">
        <f t="shared" si="7"/>
        <v>76342.809675668061</v>
      </c>
      <c r="D54" s="262">
        <f t="shared" si="1"/>
        <v>0</v>
      </c>
      <c r="E54" s="261">
        <f t="shared" si="8"/>
        <v>5079.3619212021331</v>
      </c>
      <c r="F54" s="262">
        <f t="shared" si="2"/>
        <v>0</v>
      </c>
      <c r="G54" s="262">
        <f t="shared" si="3"/>
        <v>0</v>
      </c>
      <c r="H54" s="258">
        <f t="shared" si="4"/>
        <v>0</v>
      </c>
      <c r="I54" s="259">
        <f t="shared" si="4"/>
        <v>0</v>
      </c>
    </row>
    <row r="55" spans="1:9" ht="15.75" thickBot="1">
      <c r="A55" s="463">
        <f>IF((B55&gt;(Inputs!$B$7+Inputs!$B$8)),0,IF((B55&lt;Inputs!$B$7),0,((B55-Inputs!$B$7))))</f>
        <v>0</v>
      </c>
      <c r="B55" s="255">
        <f t="shared" si="0"/>
        <v>2060</v>
      </c>
      <c r="C55" s="267">
        <f t="shared" si="7"/>
        <v>76342.809675668061</v>
      </c>
      <c r="D55" s="268">
        <f t="shared" si="1"/>
        <v>0</v>
      </c>
      <c r="E55" s="267">
        <f t="shared" si="8"/>
        <v>5079.3619212021331</v>
      </c>
      <c r="F55" s="268">
        <f t="shared" si="2"/>
        <v>0</v>
      </c>
      <c r="G55" s="268">
        <f t="shared" ref="G55" si="9">D55+F55</f>
        <v>0</v>
      </c>
      <c r="H55" s="269">
        <f t="shared" si="4"/>
        <v>0</v>
      </c>
      <c r="I55" s="270">
        <f t="shared" si="4"/>
        <v>0</v>
      </c>
    </row>
    <row r="57" spans="1:9">
      <c r="H57" s="135">
        <f>SUM(H18:H55)</f>
        <v>11899289</v>
      </c>
      <c r="I57" s="135">
        <f>SUM(I18:I55)</f>
        <v>23842210</v>
      </c>
    </row>
  </sheetData>
  <mergeCells count="2">
    <mergeCell ref="C11:D11"/>
    <mergeCell ref="E11:F11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EF5D9-91AC-4254-B202-13618C931CDD}">
  <sheetPr>
    <tabColor theme="6" tint="0.79998168889431442"/>
  </sheetPr>
  <dimension ref="A1:AB81"/>
  <sheetViews>
    <sheetView workbookViewId="0"/>
  </sheetViews>
  <sheetFormatPr defaultColWidth="9.140625" defaultRowHeight="15"/>
  <cols>
    <col min="1" max="8" width="9.140625" style="64"/>
    <col min="9" max="9" width="11.140625" style="64" customWidth="1"/>
    <col min="10" max="16" width="9.140625" style="64"/>
    <col min="17" max="17" width="11.5703125" style="64" bestFit="1" customWidth="1"/>
    <col min="18" max="31" width="9.140625" style="64"/>
    <col min="32" max="32" width="31.140625" style="64" customWidth="1"/>
    <col min="33" max="33" width="21.7109375" style="64" customWidth="1"/>
    <col min="34" max="34" width="19.5703125" style="64" customWidth="1"/>
    <col min="35" max="35" width="21.7109375" style="64" customWidth="1"/>
    <col min="36" max="36" width="19.5703125" style="64" customWidth="1"/>
    <col min="37" max="16384" width="9.140625" style="64"/>
  </cols>
  <sheetData>
    <row r="1" spans="1:16">
      <c r="A1" s="15" t="s">
        <v>668</v>
      </c>
      <c r="P1" s="15" t="s">
        <v>669</v>
      </c>
    </row>
    <row r="28" spans="1:28">
      <c r="A28" s="64" t="s">
        <v>667</v>
      </c>
      <c r="U28" s="695" t="s">
        <v>598</v>
      </c>
      <c r="V28" s="695"/>
      <c r="W28" s="695"/>
      <c r="X28" s="695"/>
      <c r="Y28" s="695" t="s">
        <v>625</v>
      </c>
      <c r="Z28" s="695"/>
      <c r="AA28" s="695"/>
      <c r="AB28" s="695"/>
    </row>
    <row r="29" spans="1:28" ht="45" customHeight="1">
      <c r="R29" s="694" t="s">
        <v>273</v>
      </c>
      <c r="S29" s="694"/>
      <c r="T29" s="694"/>
      <c r="U29" s="694" t="s">
        <v>686</v>
      </c>
      <c r="V29" s="694"/>
      <c r="W29" s="694" t="s">
        <v>687</v>
      </c>
      <c r="X29" s="694"/>
      <c r="Y29" s="694" t="s">
        <v>686</v>
      </c>
      <c r="Z29" s="694"/>
      <c r="AA29" s="694" t="s">
        <v>687</v>
      </c>
      <c r="AB29" s="694"/>
    </row>
    <row r="30" spans="1:28">
      <c r="A30" s="676" t="s">
        <v>666</v>
      </c>
      <c r="B30" s="676"/>
      <c r="C30" s="676"/>
      <c r="D30" s="676"/>
      <c r="E30" s="676"/>
      <c r="F30" s="64">
        <v>21</v>
      </c>
      <c r="G30" s="64" t="s">
        <v>659</v>
      </c>
      <c r="R30" s="687" t="s">
        <v>266</v>
      </c>
      <c r="S30" s="687"/>
      <c r="T30" s="687"/>
      <c r="U30" s="689">
        <v>25</v>
      </c>
      <c r="V30" s="689"/>
      <c r="W30" s="692">
        <f>U30/5</f>
        <v>5</v>
      </c>
      <c r="X30" s="692"/>
      <c r="Y30" s="689">
        <v>140</v>
      </c>
      <c r="Z30" s="689"/>
      <c r="AA30" s="692">
        <f>Y30/5</f>
        <v>28</v>
      </c>
      <c r="AB30" s="692"/>
    </row>
    <row r="31" spans="1:28">
      <c r="A31" s="676" t="s">
        <v>665</v>
      </c>
      <c r="B31" s="676"/>
      <c r="C31" s="676"/>
      <c r="D31" s="676"/>
      <c r="E31" s="676"/>
      <c r="F31" s="64">
        <v>39</v>
      </c>
      <c r="G31" s="64" t="s">
        <v>659</v>
      </c>
      <c r="R31" s="687" t="s">
        <v>267</v>
      </c>
      <c r="S31" s="687"/>
      <c r="T31" s="687"/>
      <c r="U31" s="689">
        <v>7</v>
      </c>
      <c r="V31" s="689"/>
      <c r="W31" s="692">
        <f>U31/5</f>
        <v>1.4</v>
      </c>
      <c r="X31" s="692"/>
      <c r="Y31" s="689">
        <v>37</v>
      </c>
      <c r="Z31" s="689"/>
      <c r="AA31" s="692">
        <f>Y31/5</f>
        <v>7.4</v>
      </c>
      <c r="AB31" s="692"/>
    </row>
    <row r="32" spans="1:28">
      <c r="A32" s="676" t="s">
        <v>664</v>
      </c>
      <c r="B32" s="676"/>
      <c r="C32" s="676"/>
      <c r="D32" s="676"/>
      <c r="E32" s="676"/>
      <c r="F32" s="64">
        <v>18</v>
      </c>
      <c r="G32" s="64" t="s">
        <v>659</v>
      </c>
      <c r="R32" s="687" t="s">
        <v>268</v>
      </c>
      <c r="S32" s="687"/>
      <c r="T32" s="687"/>
      <c r="U32" s="689">
        <v>7</v>
      </c>
      <c r="V32" s="689"/>
      <c r="W32" s="692">
        <f>U32/5</f>
        <v>1.4</v>
      </c>
      <c r="X32" s="692"/>
      <c r="Y32" s="689">
        <v>21</v>
      </c>
      <c r="Z32" s="689"/>
      <c r="AA32" s="692">
        <f>Y32/5</f>
        <v>4.2</v>
      </c>
      <c r="AB32" s="692"/>
    </row>
    <row r="33" spans="1:28">
      <c r="R33" s="687" t="s">
        <v>269</v>
      </c>
      <c r="S33" s="687"/>
      <c r="T33" s="687"/>
      <c r="U33" s="689">
        <v>2</v>
      </c>
      <c r="V33" s="689"/>
      <c r="W33" s="692">
        <f>U33/5</f>
        <v>0.4</v>
      </c>
      <c r="X33" s="692"/>
      <c r="Y33" s="689">
        <v>3</v>
      </c>
      <c r="Z33" s="689"/>
      <c r="AA33" s="692">
        <f>Y33/5</f>
        <v>0.6</v>
      </c>
      <c r="AB33" s="692"/>
    </row>
    <row r="34" spans="1:28">
      <c r="A34" s="676" t="s">
        <v>663</v>
      </c>
      <c r="B34" s="676"/>
      <c r="C34" s="676"/>
      <c r="D34" s="676"/>
      <c r="E34" s="676"/>
      <c r="F34" s="64">
        <v>88</v>
      </c>
      <c r="G34" s="64" t="s">
        <v>659</v>
      </c>
      <c r="R34" s="687" t="s">
        <v>270</v>
      </c>
      <c r="S34" s="687"/>
      <c r="T34" s="687"/>
      <c r="U34" s="689">
        <v>0</v>
      </c>
      <c r="V34" s="689"/>
      <c r="W34" s="692">
        <f>U34/5</f>
        <v>0</v>
      </c>
      <c r="X34" s="692"/>
      <c r="Y34" s="689">
        <v>1</v>
      </c>
      <c r="Z34" s="689"/>
      <c r="AA34" s="692">
        <f>Y34/5</f>
        <v>0.2</v>
      </c>
      <c r="AB34" s="692"/>
    </row>
    <row r="35" spans="1:28">
      <c r="A35" s="676" t="s">
        <v>662</v>
      </c>
      <c r="B35" s="676"/>
      <c r="C35" s="676"/>
      <c r="D35" s="676"/>
      <c r="E35" s="676"/>
      <c r="F35" s="64">
        <v>90</v>
      </c>
      <c r="G35" s="64" t="s">
        <v>659</v>
      </c>
      <c r="R35" s="688" t="s">
        <v>39</v>
      </c>
      <c r="S35" s="688"/>
      <c r="T35" s="688"/>
      <c r="U35" s="696">
        <f>SUM(U30:U34)</f>
        <v>41</v>
      </c>
      <c r="V35" s="696"/>
      <c r="W35" s="693">
        <f>SUM(W30:W34)</f>
        <v>8.2000000000000011</v>
      </c>
      <c r="X35" s="693"/>
      <c r="Y35" s="696">
        <f>SUM(Y30:Y34)</f>
        <v>202</v>
      </c>
      <c r="Z35" s="696"/>
      <c r="AA35" s="693">
        <f>SUM(AA30:AA34)</f>
        <v>40.400000000000006</v>
      </c>
      <c r="AB35" s="693"/>
    </row>
    <row r="36" spans="1:28">
      <c r="R36" s="688" t="s">
        <v>688</v>
      </c>
      <c r="S36" s="688"/>
      <c r="T36" s="688"/>
      <c r="U36" s="696">
        <f>U34+U33+U32+U31</f>
        <v>16</v>
      </c>
      <c r="V36" s="696"/>
      <c r="W36" s="693">
        <f>U36/5</f>
        <v>3.2</v>
      </c>
      <c r="X36" s="693"/>
      <c r="Y36" s="696">
        <f>Y34+Y33+Y32+Y31</f>
        <v>62</v>
      </c>
      <c r="Z36" s="696"/>
      <c r="AA36" s="693">
        <f>Y36/5</f>
        <v>12.4</v>
      </c>
      <c r="AB36" s="693"/>
    </row>
    <row r="37" spans="1:28" ht="15.75" thickBot="1">
      <c r="A37" s="64" t="s">
        <v>661</v>
      </c>
      <c r="R37" s="64" t="s">
        <v>689</v>
      </c>
    </row>
    <row r="38" spans="1:28">
      <c r="A38" s="676" t="s">
        <v>660</v>
      </c>
      <c r="B38" s="676"/>
      <c r="C38" s="676"/>
      <c r="D38" s="676"/>
      <c r="E38" s="676"/>
      <c r="F38" s="64">
        <v>4</v>
      </c>
      <c r="G38" s="64" t="s">
        <v>659</v>
      </c>
      <c r="T38" s="678" t="s">
        <v>679</v>
      </c>
      <c r="U38" s="679"/>
      <c r="V38" s="467" t="s">
        <v>680</v>
      </c>
    </row>
    <row r="39" spans="1:28" ht="15.75" thickBot="1">
      <c r="A39" s="676" t="s">
        <v>657</v>
      </c>
      <c r="B39" s="676"/>
      <c r="C39" s="676"/>
      <c r="D39" s="676"/>
      <c r="E39" s="676"/>
      <c r="F39" s="64">
        <f>F34*F38</f>
        <v>352</v>
      </c>
      <c r="G39" s="64" t="s">
        <v>659</v>
      </c>
      <c r="T39" s="680" t="s">
        <v>681</v>
      </c>
      <c r="U39" s="680"/>
      <c r="V39" s="466" t="s">
        <v>682</v>
      </c>
    </row>
    <row r="40" spans="1:28">
      <c r="A40" s="676" t="s">
        <v>656</v>
      </c>
      <c r="B40" s="676"/>
      <c r="C40" s="676"/>
      <c r="D40" s="676"/>
      <c r="E40" s="676"/>
      <c r="F40" s="64">
        <f>F35*F38</f>
        <v>360</v>
      </c>
      <c r="G40" s="64" t="s">
        <v>659</v>
      </c>
      <c r="T40" s="681">
        <v>8600030</v>
      </c>
      <c r="U40" s="682"/>
      <c r="V40" s="468">
        <v>1.2442124375890318E-2</v>
      </c>
    </row>
    <row r="41" spans="1:28">
      <c r="T41" s="683">
        <v>8600029</v>
      </c>
      <c r="U41" s="684"/>
      <c r="V41" s="469">
        <v>1.4640206383740528E-2</v>
      </c>
    </row>
    <row r="42" spans="1:28" ht="15.75" thickBot="1">
      <c r="A42" s="64" t="s">
        <v>658</v>
      </c>
      <c r="T42" s="690" t="s">
        <v>683</v>
      </c>
      <c r="U42" s="691"/>
      <c r="V42" s="470">
        <f>AVERAGEA(V40:V41)</f>
        <v>1.3541165379815423E-2</v>
      </c>
    </row>
    <row r="43" spans="1:28">
      <c r="A43" s="676" t="s">
        <v>657</v>
      </c>
      <c r="B43" s="676"/>
      <c r="C43" s="676"/>
      <c r="D43" s="676"/>
      <c r="E43" s="676"/>
      <c r="F43" s="64">
        <f>F39-F32</f>
        <v>334</v>
      </c>
      <c r="G43" s="64" t="s">
        <v>655</v>
      </c>
    </row>
    <row r="44" spans="1:28">
      <c r="A44" s="676" t="s">
        <v>656</v>
      </c>
      <c r="B44" s="676"/>
      <c r="C44" s="676"/>
      <c r="D44" s="676"/>
      <c r="E44" s="676"/>
      <c r="F44" s="64">
        <f>F40-F32</f>
        <v>342</v>
      </c>
      <c r="G44" s="64" t="s">
        <v>655</v>
      </c>
    </row>
    <row r="45" spans="1:28">
      <c r="A45" s="464"/>
      <c r="B45" s="464"/>
      <c r="C45" s="464"/>
      <c r="D45" s="464"/>
      <c r="E45" s="464"/>
    </row>
    <row r="46" spans="1:28">
      <c r="F46" s="640">
        <v>2019</v>
      </c>
      <c r="G46" s="640"/>
      <c r="H46" s="640"/>
      <c r="I46" s="640"/>
      <c r="J46" s="640"/>
      <c r="K46" s="640"/>
      <c r="L46" s="640"/>
      <c r="M46" s="640"/>
      <c r="N46" s="640"/>
      <c r="O46" s="640"/>
      <c r="Q46" s="640">
        <v>2045</v>
      </c>
      <c r="R46" s="640"/>
      <c r="S46" s="640"/>
      <c r="T46" s="640"/>
      <c r="U46" s="640"/>
      <c r="V46" s="640"/>
      <c r="W46" s="640"/>
      <c r="X46" s="640"/>
      <c r="Y46" s="640"/>
      <c r="Z46" s="640"/>
    </row>
    <row r="47" spans="1:28">
      <c r="A47" s="676" t="s">
        <v>654</v>
      </c>
      <c r="B47" s="676"/>
      <c r="C47" s="676"/>
      <c r="D47" s="676"/>
      <c r="E47" s="676"/>
      <c r="F47" s="640" t="s">
        <v>684</v>
      </c>
      <c r="G47" s="640"/>
      <c r="H47" s="462" t="s">
        <v>653</v>
      </c>
      <c r="I47" s="641" t="s">
        <v>652</v>
      </c>
      <c r="J47" s="685"/>
      <c r="K47" s="686"/>
      <c r="L47" s="462" t="s">
        <v>651</v>
      </c>
      <c r="M47" s="641" t="s">
        <v>685</v>
      </c>
      <c r="N47" s="685"/>
      <c r="O47" s="686"/>
      <c r="Q47" s="640" t="s">
        <v>684</v>
      </c>
      <c r="R47" s="640"/>
      <c r="S47" s="462" t="s">
        <v>653</v>
      </c>
      <c r="T47" s="641" t="s">
        <v>652</v>
      </c>
      <c r="U47" s="685"/>
      <c r="V47" s="686"/>
      <c r="W47" s="462" t="s">
        <v>651</v>
      </c>
      <c r="X47" s="641" t="s">
        <v>685</v>
      </c>
      <c r="Y47" s="685"/>
      <c r="Z47" s="686"/>
    </row>
    <row r="48" spans="1:28">
      <c r="A48" s="676" t="s">
        <v>644</v>
      </c>
      <c r="B48" s="676"/>
      <c r="C48" s="676"/>
      <c r="D48" s="676"/>
      <c r="E48" s="676"/>
      <c r="F48" s="471">
        <v>3300</v>
      </c>
      <c r="G48" s="472" t="s">
        <v>650</v>
      </c>
      <c r="H48" s="473">
        <v>0.9</v>
      </c>
      <c r="I48" s="462">
        <f>F48*H48</f>
        <v>2970</v>
      </c>
      <c r="J48" s="474">
        <f>I48/(60*24)</f>
        <v>2.0625</v>
      </c>
      <c r="K48" s="475" t="s">
        <v>649</v>
      </c>
      <c r="L48" s="473">
        <v>0.1</v>
      </c>
      <c r="M48" s="462">
        <f>F48*L48</f>
        <v>330</v>
      </c>
      <c r="N48" s="474">
        <f>M48/(60*24)</f>
        <v>0.22916666666666666</v>
      </c>
      <c r="O48" s="475" t="s">
        <v>649</v>
      </c>
      <c r="Q48" s="479">
        <f>F48*(1+V42)^(Q46-F46)</f>
        <v>4681.5551417384131</v>
      </c>
      <c r="R48" s="472" t="s">
        <v>650</v>
      </c>
      <c r="S48" s="473">
        <v>0.9</v>
      </c>
      <c r="T48" s="477">
        <f>Q48*S48</f>
        <v>4213.3996275645723</v>
      </c>
      <c r="U48" s="474">
        <f>T48/(60*24)</f>
        <v>2.9259719635865085</v>
      </c>
      <c r="V48" s="475" t="s">
        <v>649</v>
      </c>
      <c r="W48" s="473">
        <v>0.1</v>
      </c>
      <c r="X48" s="477">
        <f>Q48*W48</f>
        <v>468.15551417384131</v>
      </c>
      <c r="Y48" s="474">
        <f>X48/(60*24)</f>
        <v>0.32510799595405648</v>
      </c>
      <c r="Z48" s="475" t="s">
        <v>649</v>
      </c>
    </row>
    <row r="49" spans="1:26">
      <c r="A49" s="676" t="s">
        <v>643</v>
      </c>
      <c r="B49" s="676"/>
      <c r="C49" s="676"/>
      <c r="D49" s="676"/>
      <c r="E49" s="676"/>
      <c r="F49" s="471">
        <v>4900</v>
      </c>
      <c r="G49" s="472" t="s">
        <v>650</v>
      </c>
      <c r="H49" s="473">
        <v>0.9</v>
      </c>
      <c r="I49" s="462">
        <f>F49*H49</f>
        <v>4410</v>
      </c>
      <c r="J49" s="474">
        <f>I49/(60*24)</f>
        <v>3.0625</v>
      </c>
      <c r="K49" s="475" t="s">
        <v>649</v>
      </c>
      <c r="L49" s="473">
        <v>0.1</v>
      </c>
      <c r="M49" s="462">
        <f>F49*L49</f>
        <v>490</v>
      </c>
      <c r="N49" s="474">
        <f>M49/(60*24)</f>
        <v>0.34027777777777779</v>
      </c>
      <c r="O49" s="475" t="s">
        <v>649</v>
      </c>
      <c r="Q49" s="479">
        <f>F49*(1+V42)^(Q46-F46)</f>
        <v>6951.4000589449161</v>
      </c>
      <c r="R49" s="472" t="s">
        <v>650</v>
      </c>
      <c r="S49" s="473">
        <v>0.9</v>
      </c>
      <c r="T49" s="477">
        <f>Q49*S49</f>
        <v>6256.2600530504242</v>
      </c>
      <c r="U49" s="474">
        <f>T49/(60*24)</f>
        <v>4.3446250368405721</v>
      </c>
      <c r="V49" s="475" t="s">
        <v>649</v>
      </c>
      <c r="W49" s="473">
        <v>0.1</v>
      </c>
      <c r="X49" s="477">
        <f>Q49*W49</f>
        <v>695.14000589449165</v>
      </c>
      <c r="Y49" s="474">
        <f>X49/(60*24)</f>
        <v>0.4827361152045081</v>
      </c>
      <c r="Z49" s="475" t="s">
        <v>649</v>
      </c>
    </row>
    <row r="51" spans="1:26">
      <c r="A51" s="676" t="s">
        <v>648</v>
      </c>
      <c r="B51" s="676"/>
      <c r="C51" s="676"/>
      <c r="D51" s="676"/>
      <c r="E51" s="676"/>
      <c r="F51" s="640">
        <v>2019</v>
      </c>
      <c r="G51" s="640"/>
      <c r="H51" s="640"/>
      <c r="I51" s="640"/>
      <c r="J51" s="640"/>
      <c r="K51" s="640"/>
      <c r="L51" s="640"/>
      <c r="M51" s="640"/>
      <c r="N51" s="640"/>
      <c r="O51" s="640"/>
      <c r="Q51" s="640">
        <v>2045</v>
      </c>
      <c r="R51" s="640"/>
      <c r="S51" s="640"/>
      <c r="T51" s="640"/>
      <c r="U51" s="640"/>
      <c r="V51" s="640"/>
      <c r="W51" s="640"/>
      <c r="X51" s="640"/>
      <c r="Y51" s="640"/>
      <c r="Z51" s="640"/>
    </row>
    <row r="52" spans="1:26">
      <c r="A52" s="676" t="s">
        <v>670</v>
      </c>
      <c r="B52" s="676"/>
      <c r="C52" s="676"/>
      <c r="D52" s="676"/>
      <c r="E52" s="676"/>
      <c r="F52" s="476">
        <f>$F$34*J48</f>
        <v>181.5</v>
      </c>
      <c r="G52" s="65" t="s">
        <v>647</v>
      </c>
      <c r="I52" s="477">
        <f>$F$34*N48</f>
        <v>20.166666666666664</v>
      </c>
      <c r="J52" s="462" t="s">
        <v>237</v>
      </c>
      <c r="Q52" s="476">
        <f>$F$34*U48</f>
        <v>257.48553279561276</v>
      </c>
      <c r="R52" s="65" t="s">
        <v>647</v>
      </c>
      <c r="T52" s="477">
        <f>$F$34*Y48</f>
        <v>28.60950364395697</v>
      </c>
      <c r="U52" s="462" t="s">
        <v>237</v>
      </c>
    </row>
    <row r="53" spans="1:26">
      <c r="A53" s="676" t="s">
        <v>675</v>
      </c>
      <c r="B53" s="676"/>
      <c r="C53" s="676"/>
      <c r="D53" s="676"/>
      <c r="E53" s="676"/>
      <c r="F53" s="476">
        <f>$F$35*J49</f>
        <v>275.625</v>
      </c>
      <c r="G53" s="65" t="s">
        <v>647</v>
      </c>
      <c r="I53" s="477">
        <f>$F$35*N49</f>
        <v>30.625</v>
      </c>
      <c r="J53" s="462" t="s">
        <v>237</v>
      </c>
      <c r="Q53" s="476">
        <f>$F$35*U49</f>
        <v>391.01625331565151</v>
      </c>
      <c r="R53" s="65" t="s">
        <v>647</v>
      </c>
      <c r="T53" s="477">
        <f>$F$35*Y49</f>
        <v>43.446250368405728</v>
      </c>
      <c r="U53" s="462" t="s">
        <v>237</v>
      </c>
    </row>
    <row r="55" spans="1:26">
      <c r="A55" s="675" t="s">
        <v>646</v>
      </c>
      <c r="B55" s="675"/>
      <c r="C55" s="675"/>
      <c r="D55" s="675"/>
      <c r="E55" s="675"/>
      <c r="F55" s="675"/>
      <c r="G55" s="675"/>
      <c r="H55" s="675"/>
      <c r="I55" s="640">
        <v>2019</v>
      </c>
      <c r="J55" s="640"/>
      <c r="T55" s="640">
        <v>2045</v>
      </c>
      <c r="U55" s="640"/>
    </row>
    <row r="56" spans="1:26">
      <c r="A56" s="676" t="s">
        <v>670</v>
      </c>
      <c r="B56" s="676"/>
      <c r="C56" s="676"/>
      <c r="D56" s="676"/>
      <c r="E56" s="676"/>
      <c r="I56" s="476">
        <f>(F43*F52)/60</f>
        <v>1010.35</v>
      </c>
      <c r="J56" s="65" t="s">
        <v>642</v>
      </c>
      <c r="T56" s="476">
        <f>(F43*Q52)/60</f>
        <v>1433.3361325622443</v>
      </c>
      <c r="U56" s="65" t="s">
        <v>642</v>
      </c>
    </row>
    <row r="57" spans="1:26">
      <c r="A57" s="676" t="s">
        <v>675</v>
      </c>
      <c r="B57" s="676"/>
      <c r="C57" s="676"/>
      <c r="D57" s="676"/>
      <c r="E57" s="676"/>
      <c r="I57" s="476">
        <f>(F44*F53)/60</f>
        <v>1571.0625</v>
      </c>
      <c r="J57" s="65" t="s">
        <v>642</v>
      </c>
      <c r="T57" s="476">
        <f>(F44*Q53)/60</f>
        <v>2228.7926438992135</v>
      </c>
      <c r="U57" s="65" t="s">
        <v>642</v>
      </c>
    </row>
    <row r="59" spans="1:26">
      <c r="A59" s="676" t="s">
        <v>102</v>
      </c>
      <c r="B59" s="676"/>
      <c r="C59" s="676"/>
      <c r="D59" s="676"/>
      <c r="E59" s="676"/>
      <c r="I59" s="640">
        <v>1.67</v>
      </c>
      <c r="J59" s="640"/>
      <c r="T59" s="640">
        <v>1.67</v>
      </c>
      <c r="U59" s="640"/>
    </row>
    <row r="61" spans="1:26">
      <c r="A61" s="675" t="s">
        <v>645</v>
      </c>
      <c r="B61" s="675"/>
      <c r="C61" s="675"/>
      <c r="D61" s="675"/>
      <c r="E61" s="675"/>
      <c r="F61" s="675"/>
      <c r="G61" s="675"/>
      <c r="I61" s="640">
        <v>2019</v>
      </c>
      <c r="J61" s="640"/>
      <c r="T61" s="640">
        <v>2045</v>
      </c>
      <c r="U61" s="640"/>
    </row>
    <row r="62" spans="1:26">
      <c r="A62" s="676" t="s">
        <v>670</v>
      </c>
      <c r="B62" s="676"/>
      <c r="C62" s="676"/>
      <c r="D62" s="676"/>
      <c r="E62" s="676"/>
      <c r="I62" s="476">
        <f>I56*I59</f>
        <v>1687.2845</v>
      </c>
      <c r="J62" s="65" t="s">
        <v>642</v>
      </c>
      <c r="T62" s="476">
        <f>T56*T59</f>
        <v>2393.671341378948</v>
      </c>
      <c r="U62" s="65" t="s">
        <v>642</v>
      </c>
    </row>
    <row r="63" spans="1:26">
      <c r="A63" s="676" t="s">
        <v>675</v>
      </c>
      <c r="B63" s="676"/>
      <c r="C63" s="676"/>
      <c r="D63" s="676"/>
      <c r="E63" s="676"/>
      <c r="I63" s="476">
        <f>I57*I59</f>
        <v>2623.6743750000001</v>
      </c>
      <c r="J63" s="65" t="s">
        <v>642</v>
      </c>
      <c r="T63" s="476">
        <f>T57*T59</f>
        <v>3722.0837153116863</v>
      </c>
      <c r="U63" s="65" t="s">
        <v>642</v>
      </c>
    </row>
    <row r="65" spans="1:22">
      <c r="A65" s="675" t="s">
        <v>671</v>
      </c>
      <c r="B65" s="675"/>
      <c r="C65" s="675"/>
      <c r="D65" s="675"/>
      <c r="E65" s="675"/>
      <c r="F65" s="675"/>
      <c r="G65" s="675"/>
      <c r="I65" s="640">
        <v>2019</v>
      </c>
      <c r="J65" s="640"/>
      <c r="T65" s="640">
        <v>2045</v>
      </c>
      <c r="U65" s="640"/>
    </row>
    <row r="66" spans="1:22">
      <c r="A66" s="676" t="s">
        <v>670</v>
      </c>
      <c r="B66" s="676"/>
      <c r="C66" s="676"/>
      <c r="D66" s="676"/>
      <c r="E66" s="676"/>
      <c r="I66" s="476">
        <f>(F43*I52)/60</f>
        <v>112.26111111111111</v>
      </c>
      <c r="J66" s="65" t="s">
        <v>642</v>
      </c>
      <c r="T66" s="476">
        <f>(F43*T52)/60</f>
        <v>159.25957028469381</v>
      </c>
      <c r="U66" s="65" t="s">
        <v>642</v>
      </c>
    </row>
    <row r="67" spans="1:22">
      <c r="A67" s="676" t="s">
        <v>675</v>
      </c>
      <c r="B67" s="676"/>
      <c r="C67" s="676"/>
      <c r="D67" s="676"/>
      <c r="E67" s="676"/>
      <c r="I67" s="476">
        <f>(F44*I53)/60</f>
        <v>174.5625</v>
      </c>
      <c r="J67" s="65" t="s">
        <v>642</v>
      </c>
      <c r="T67" s="476">
        <f>(F44*T53)/60</f>
        <v>247.64362709991264</v>
      </c>
      <c r="U67" s="65" t="s">
        <v>642</v>
      </c>
    </row>
    <row r="69" spans="1:22">
      <c r="A69" s="675" t="s">
        <v>672</v>
      </c>
      <c r="B69" s="675"/>
      <c r="C69" s="675"/>
      <c r="D69" s="675"/>
      <c r="E69" s="675"/>
      <c r="F69" s="675"/>
      <c r="G69" s="675"/>
      <c r="I69" s="640">
        <v>2019</v>
      </c>
      <c r="J69" s="640"/>
      <c r="K69" s="640"/>
      <c r="T69" s="640">
        <v>2045</v>
      </c>
      <c r="U69" s="640"/>
      <c r="V69" s="640"/>
    </row>
    <row r="70" spans="1:22">
      <c r="A70" s="676" t="s">
        <v>670</v>
      </c>
      <c r="B70" s="676"/>
      <c r="C70" s="676"/>
      <c r="D70" s="676"/>
      <c r="E70" s="676"/>
      <c r="I70" s="480">
        <f>W36</f>
        <v>3.2</v>
      </c>
      <c r="J70" s="641" t="s">
        <v>673</v>
      </c>
      <c r="K70" s="686"/>
      <c r="T70" s="480">
        <f>I70*(1+V42)^(Q46-F46)</f>
        <v>4.5396898344130063</v>
      </c>
      <c r="U70" s="641" t="s">
        <v>673</v>
      </c>
      <c r="V70" s="686"/>
    </row>
    <row r="71" spans="1:22">
      <c r="A71" s="676" t="s">
        <v>675</v>
      </c>
      <c r="B71" s="676"/>
      <c r="C71" s="676"/>
      <c r="D71" s="676"/>
      <c r="E71" s="676"/>
      <c r="I71" s="480">
        <f>AA36</f>
        <v>12.4</v>
      </c>
      <c r="J71" s="641" t="s">
        <v>673</v>
      </c>
      <c r="K71" s="686"/>
      <c r="T71" s="480">
        <f>I71*(1+V42)^(Q46-F46)</f>
        <v>17.591298108350401</v>
      </c>
      <c r="U71" s="641" t="s">
        <v>673</v>
      </c>
      <c r="V71" s="686"/>
    </row>
    <row r="73" spans="1:22">
      <c r="A73" s="675" t="s">
        <v>674</v>
      </c>
      <c r="B73" s="675"/>
      <c r="C73" s="675"/>
      <c r="D73" s="675"/>
      <c r="E73" s="675"/>
      <c r="F73" s="675"/>
      <c r="G73" s="675"/>
      <c r="I73" s="640">
        <v>2019</v>
      </c>
      <c r="J73" s="640"/>
      <c r="T73" s="640">
        <v>2045</v>
      </c>
      <c r="U73" s="640"/>
    </row>
    <row r="74" spans="1:22">
      <c r="A74" s="676" t="s">
        <v>670</v>
      </c>
      <c r="B74" s="676"/>
      <c r="C74" s="676"/>
      <c r="D74" s="676"/>
      <c r="E74" s="676"/>
      <c r="I74" s="477">
        <f>I62*I70</f>
        <v>5399.3104000000003</v>
      </c>
      <c r="J74" s="462" t="s">
        <v>642</v>
      </c>
      <c r="T74" s="477">
        <f>T62*T70</f>
        <v>10866.525455383755</v>
      </c>
      <c r="U74" s="462" t="s">
        <v>642</v>
      </c>
    </row>
    <row r="75" spans="1:22">
      <c r="A75" s="676" t="s">
        <v>675</v>
      </c>
      <c r="B75" s="676"/>
      <c r="C75" s="676"/>
      <c r="D75" s="676"/>
      <c r="E75" s="676"/>
      <c r="I75" s="477">
        <f>I63*I71</f>
        <v>32533.562250000003</v>
      </c>
      <c r="J75" s="462" t="s">
        <v>642</v>
      </c>
      <c r="T75" s="477">
        <f>T63*T71</f>
        <v>65476.284220284302</v>
      </c>
      <c r="U75" s="462" t="s">
        <v>642</v>
      </c>
    </row>
    <row r="76" spans="1:22">
      <c r="A76" s="677" t="s">
        <v>674</v>
      </c>
      <c r="B76" s="677"/>
      <c r="C76" s="677"/>
      <c r="D76" s="677"/>
      <c r="E76" s="677"/>
      <c r="I76" s="478">
        <f>I74+I75</f>
        <v>37932.872650000005</v>
      </c>
      <c r="J76" s="87" t="s">
        <v>642</v>
      </c>
      <c r="T76" s="478">
        <f>T74+T75</f>
        <v>76342.809675668061</v>
      </c>
      <c r="U76" s="87" t="s">
        <v>642</v>
      </c>
    </row>
    <row r="78" spans="1:22">
      <c r="A78" s="675" t="s">
        <v>671</v>
      </c>
      <c r="B78" s="675"/>
      <c r="C78" s="675"/>
      <c r="D78" s="675"/>
      <c r="E78" s="675"/>
      <c r="F78" s="675"/>
      <c r="G78" s="675"/>
      <c r="I78" s="640">
        <v>2019</v>
      </c>
      <c r="J78" s="640"/>
      <c r="T78" s="640">
        <v>2045</v>
      </c>
      <c r="U78" s="640"/>
    </row>
    <row r="79" spans="1:22">
      <c r="A79" s="676" t="s">
        <v>670</v>
      </c>
      <c r="B79" s="676"/>
      <c r="C79" s="676"/>
      <c r="D79" s="676"/>
      <c r="E79" s="676"/>
      <c r="I79" s="477">
        <f>I66*I70</f>
        <v>359.23555555555555</v>
      </c>
      <c r="J79" s="462" t="s">
        <v>642</v>
      </c>
      <c r="T79" s="477">
        <f>T66*T70</f>
        <v>722.98905225440819</v>
      </c>
      <c r="U79" s="462" t="s">
        <v>642</v>
      </c>
    </row>
    <row r="80" spans="1:22">
      <c r="A80" s="676" t="s">
        <v>675</v>
      </c>
      <c r="B80" s="676"/>
      <c r="C80" s="676"/>
      <c r="D80" s="676"/>
      <c r="E80" s="676"/>
      <c r="I80" s="477">
        <f>I67*I71</f>
        <v>2164.5750000000003</v>
      </c>
      <c r="J80" s="462" t="s">
        <v>642</v>
      </c>
      <c r="T80" s="477">
        <f>T67*T71</f>
        <v>4356.3728689477248</v>
      </c>
      <c r="U80" s="462" t="s">
        <v>642</v>
      </c>
    </row>
    <row r="81" spans="1:21">
      <c r="A81" s="677" t="s">
        <v>676</v>
      </c>
      <c r="B81" s="677"/>
      <c r="C81" s="677"/>
      <c r="D81" s="677"/>
      <c r="E81" s="677"/>
      <c r="I81" s="478">
        <f>I79+I80</f>
        <v>2523.8105555555558</v>
      </c>
      <c r="J81" s="87" t="s">
        <v>642</v>
      </c>
      <c r="T81" s="478">
        <f>T79+T80</f>
        <v>5079.3619212021331</v>
      </c>
      <c r="U81" s="87" t="s">
        <v>642</v>
      </c>
    </row>
  </sheetData>
  <mergeCells count="112">
    <mergeCell ref="AA35:AB35"/>
    <mergeCell ref="AA36:AB36"/>
    <mergeCell ref="U28:X28"/>
    <mergeCell ref="Y28:AB28"/>
    <mergeCell ref="AA29:AB29"/>
    <mergeCell ref="AA30:AB30"/>
    <mergeCell ref="AA31:AB31"/>
    <mergeCell ref="AA32:AB32"/>
    <mergeCell ref="AA33:AB33"/>
    <mergeCell ref="AA34:AB34"/>
    <mergeCell ref="W36:X36"/>
    <mergeCell ref="Y29:Z29"/>
    <mergeCell ref="Y30:Z30"/>
    <mergeCell ref="Y31:Z31"/>
    <mergeCell ref="Y32:Z32"/>
    <mergeCell ref="Y33:Z33"/>
    <mergeCell ref="Y34:Z34"/>
    <mergeCell ref="Y35:Z35"/>
    <mergeCell ref="Y36:Z36"/>
    <mergeCell ref="U34:V34"/>
    <mergeCell ref="U35:V35"/>
    <mergeCell ref="U36:V36"/>
    <mergeCell ref="W29:X29"/>
    <mergeCell ref="W30:X30"/>
    <mergeCell ref="W31:X31"/>
    <mergeCell ref="W32:X32"/>
    <mergeCell ref="W33:X33"/>
    <mergeCell ref="W34:X34"/>
    <mergeCell ref="W35:X35"/>
    <mergeCell ref="R29:T29"/>
    <mergeCell ref="R30:T30"/>
    <mergeCell ref="R31:T31"/>
    <mergeCell ref="R32:T32"/>
    <mergeCell ref="R33:T33"/>
    <mergeCell ref="U29:V29"/>
    <mergeCell ref="U30:V30"/>
    <mergeCell ref="U31:V31"/>
    <mergeCell ref="U32:V32"/>
    <mergeCell ref="T69:V69"/>
    <mergeCell ref="U70:V70"/>
    <mergeCell ref="U71:V71"/>
    <mergeCell ref="T73:U73"/>
    <mergeCell ref="T78:U78"/>
    <mergeCell ref="R34:T34"/>
    <mergeCell ref="R35:T35"/>
    <mergeCell ref="R36:T36"/>
    <mergeCell ref="U33:V33"/>
    <mergeCell ref="T42:U42"/>
    <mergeCell ref="I78:J78"/>
    <mergeCell ref="Q46:Z46"/>
    <mergeCell ref="Q47:R47"/>
    <mergeCell ref="T47:V47"/>
    <mergeCell ref="X47:Z47"/>
    <mergeCell ref="Q51:Z51"/>
    <mergeCell ref="T55:U55"/>
    <mergeCell ref="T59:U59"/>
    <mergeCell ref="T61:U61"/>
    <mergeCell ref="T65:U65"/>
    <mergeCell ref="I59:J59"/>
    <mergeCell ref="I65:J65"/>
    <mergeCell ref="I69:K69"/>
    <mergeCell ref="J70:K70"/>
    <mergeCell ref="J71:K71"/>
    <mergeCell ref="I73:J73"/>
    <mergeCell ref="F46:O46"/>
    <mergeCell ref="F47:G47"/>
    <mergeCell ref="I47:K47"/>
    <mergeCell ref="M47:O47"/>
    <mergeCell ref="A78:G78"/>
    <mergeCell ref="F51:O51"/>
    <mergeCell ref="I55:J55"/>
    <mergeCell ref="I61:J61"/>
    <mergeCell ref="A79:E79"/>
    <mergeCell ref="A80:E80"/>
    <mergeCell ref="A76:E76"/>
    <mergeCell ref="A81:E81"/>
    <mergeCell ref="T38:U38"/>
    <mergeCell ref="T39:U39"/>
    <mergeCell ref="T40:U40"/>
    <mergeCell ref="T41:U41"/>
    <mergeCell ref="A69:G69"/>
    <mergeCell ref="A70:E70"/>
    <mergeCell ref="A71:E71"/>
    <mergeCell ref="A73:G73"/>
    <mergeCell ref="A74:E74"/>
    <mergeCell ref="A75:E75"/>
    <mergeCell ref="A44:E44"/>
    <mergeCell ref="A47:E47"/>
    <mergeCell ref="A48:E48"/>
    <mergeCell ref="A55:H55"/>
    <mergeCell ref="A61:G61"/>
    <mergeCell ref="A49:E49"/>
    <mergeCell ref="A51:E51"/>
    <mergeCell ref="A52:E52"/>
    <mergeCell ref="A53:E53"/>
    <mergeCell ref="A56:E56"/>
    <mergeCell ref="A65:G65"/>
    <mergeCell ref="A66:E66"/>
    <mergeCell ref="A67:E67"/>
    <mergeCell ref="A57:E57"/>
    <mergeCell ref="A59:E59"/>
    <mergeCell ref="A62:E62"/>
    <mergeCell ref="A63:E63"/>
    <mergeCell ref="A30:E30"/>
    <mergeCell ref="A31:E31"/>
    <mergeCell ref="A32:E32"/>
    <mergeCell ref="A34:E34"/>
    <mergeCell ref="A35:E35"/>
    <mergeCell ref="A39:E39"/>
    <mergeCell ref="A40:E40"/>
    <mergeCell ref="A38:E38"/>
    <mergeCell ref="A43:E43"/>
  </mergeCells>
  <hyperlinks>
    <hyperlink ref="P1" r:id="rId1" xr:uid="{7B9E94EF-50FA-446B-8BBD-560BFDB117BF}"/>
    <hyperlink ref="A1" r:id="rId2" xr:uid="{3044FE60-0234-42A9-BCE3-C240E99B62C5}"/>
  </hyperlinks>
  <pageMargins left="0.7" right="0.7" top="0.75" bottom="0.75" header="0.3" footer="0.3"/>
  <pageSetup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BE34C-782B-4116-B691-E12252860FEC}">
  <sheetPr>
    <tabColor theme="6" tint="0.79998168889431442"/>
  </sheetPr>
  <dimension ref="A1:AU57"/>
  <sheetViews>
    <sheetView workbookViewId="0"/>
  </sheetViews>
  <sheetFormatPr defaultColWidth="9.140625" defaultRowHeight="15"/>
  <cols>
    <col min="1" max="1" width="10.7109375" style="511" customWidth="1"/>
    <col min="2" max="2" width="25.28515625" style="64" customWidth="1"/>
    <col min="3" max="3" width="18" style="64" customWidth="1"/>
    <col min="4" max="4" width="17.140625" style="64" customWidth="1"/>
    <col min="5" max="5" width="18.140625" style="64" customWidth="1"/>
    <col min="6" max="6" width="14.5703125" style="64" customWidth="1"/>
    <col min="7" max="7" width="15.7109375" style="64" customWidth="1"/>
    <col min="8" max="8" width="18" style="64" customWidth="1"/>
    <col min="9" max="9" width="17.140625" style="64" customWidth="1"/>
    <col min="10" max="10" width="18.140625" style="64" customWidth="1"/>
    <col min="11" max="11" width="14.5703125" style="64" customWidth="1"/>
    <col min="12" max="12" width="15.7109375" style="64" customWidth="1"/>
    <col min="13" max="13" width="18" style="64" customWidth="1"/>
    <col min="14" max="14" width="17.140625" style="64" customWidth="1"/>
    <col min="15" max="15" width="18.140625" style="64" customWidth="1"/>
    <col min="16" max="16" width="14.5703125" style="64" customWidth="1"/>
    <col min="17" max="17" width="15.7109375" style="64" customWidth="1"/>
    <col min="18" max="18" width="18" style="64" customWidth="1"/>
    <col min="19" max="19" width="17.140625" style="64" customWidth="1"/>
    <col min="20" max="20" width="18.140625" style="64" customWidth="1"/>
    <col min="21" max="21" width="14.5703125" style="64" customWidth="1"/>
    <col min="22" max="22" width="15.7109375" style="64" customWidth="1"/>
    <col min="23" max="23" width="18" style="64" customWidth="1"/>
    <col min="24" max="24" width="17.140625" style="64" customWidth="1"/>
    <col min="25" max="25" width="18.140625" style="64" customWidth="1"/>
    <col min="26" max="26" width="14.5703125" style="64" customWidth="1"/>
    <col min="27" max="27" width="15.7109375" style="64" customWidth="1"/>
    <col min="28" max="28" width="18" style="64" customWidth="1"/>
    <col min="29" max="29" width="17.140625" style="64" customWidth="1"/>
    <col min="30" max="30" width="18.140625" style="64" customWidth="1"/>
    <col min="31" max="31" width="14.5703125" style="64" customWidth="1"/>
    <col min="32" max="32" width="15.7109375" style="64" customWidth="1"/>
    <col min="33" max="33" width="18" style="64" customWidth="1"/>
    <col min="34" max="34" width="17.140625" style="64" customWidth="1"/>
    <col min="35" max="35" width="18.140625" style="64" customWidth="1"/>
    <col min="36" max="36" width="14.5703125" style="64" customWidth="1"/>
    <col min="37" max="37" width="15.7109375" style="64" customWidth="1"/>
    <col min="38" max="38" width="18" style="64" customWidth="1"/>
    <col min="39" max="39" width="17.140625" style="64" customWidth="1"/>
    <col min="40" max="40" width="18.140625" style="64" customWidth="1"/>
    <col min="41" max="41" width="14.5703125" style="64" customWidth="1"/>
    <col min="42" max="42" width="15.7109375" style="64" customWidth="1"/>
    <col min="43" max="43" width="18" style="64" customWidth="1"/>
    <col min="44" max="44" width="17.140625" style="64" customWidth="1"/>
    <col min="45" max="45" width="18.140625" style="64" customWidth="1"/>
    <col min="46" max="46" width="14.5703125" style="64" customWidth="1"/>
    <col min="47" max="47" width="15.7109375" style="64" customWidth="1"/>
    <col min="48" max="48" width="18" style="64" customWidth="1"/>
    <col min="49" max="49" width="17.140625" style="64" customWidth="1"/>
    <col min="50" max="50" width="18.140625" style="64" customWidth="1"/>
    <col min="51" max="51" width="14.5703125" style="64" customWidth="1"/>
    <col min="52" max="52" width="15.7109375" style="64" customWidth="1"/>
    <col min="53" max="53" width="18" style="64" customWidth="1"/>
    <col min="54" max="54" width="17.140625" style="64" customWidth="1"/>
    <col min="55" max="55" width="18.140625" style="64" customWidth="1"/>
    <col min="56" max="56" width="14.5703125" style="64" customWidth="1"/>
    <col min="57" max="57" width="15.7109375" style="64" customWidth="1"/>
    <col min="58" max="58" width="18" style="64" customWidth="1"/>
    <col min="59" max="59" width="17.140625" style="64" customWidth="1"/>
    <col min="60" max="60" width="18.140625" style="64" customWidth="1"/>
    <col min="61" max="61" width="14.5703125" style="64" customWidth="1"/>
    <col min="62" max="62" width="15.7109375" style="64" customWidth="1"/>
    <col min="63" max="63" width="18" style="64" customWidth="1"/>
    <col min="64" max="64" width="17.140625" style="64" customWidth="1"/>
    <col min="65" max="65" width="18.140625" style="64" customWidth="1"/>
    <col min="66" max="66" width="14.5703125" style="64" customWidth="1"/>
    <col min="67" max="67" width="15.7109375" style="64" customWidth="1"/>
    <col min="68" max="16384" width="9.140625" style="64"/>
  </cols>
  <sheetData>
    <row r="1" spans="1:47">
      <c r="A1" s="338"/>
      <c r="B1" s="629" t="s">
        <v>690</v>
      </c>
    </row>
    <row r="2" spans="1:47">
      <c r="B2" s="630" t="s">
        <v>691</v>
      </c>
    </row>
    <row r="4" spans="1:47">
      <c r="E4" s="16" t="s">
        <v>23</v>
      </c>
      <c r="F4" s="16"/>
      <c r="H4" s="64" t="s">
        <v>834</v>
      </c>
      <c r="L4" s="512">
        <f>(3/24)*52</f>
        <v>6.5</v>
      </c>
      <c r="M4" s="64" t="s">
        <v>835</v>
      </c>
    </row>
    <row r="5" spans="1:47">
      <c r="B5" s="171" t="s">
        <v>352</v>
      </c>
      <c r="C5" s="202">
        <f>Inputs!B33</f>
        <v>16.600000000000001</v>
      </c>
      <c r="E5" s="11" t="s">
        <v>24</v>
      </c>
      <c r="F5" s="12">
        <f>Truck_OperatingSavings!C26</f>
        <v>78.620209999036689</v>
      </c>
      <c r="H5" s="64" t="s">
        <v>836</v>
      </c>
      <c r="L5" s="512">
        <v>12</v>
      </c>
      <c r="M5" s="64" t="s">
        <v>835</v>
      </c>
    </row>
    <row r="6" spans="1:47">
      <c r="B6" s="172" t="s">
        <v>102</v>
      </c>
      <c r="C6" s="203">
        <f>Inputs!B35</f>
        <v>1.67</v>
      </c>
      <c r="K6" s="514" t="s">
        <v>497</v>
      </c>
      <c r="L6" s="513">
        <f>SUM(L4:L5)</f>
        <v>18.5</v>
      </c>
      <c r="M6" s="16" t="s">
        <v>835</v>
      </c>
    </row>
    <row r="7" spans="1:47">
      <c r="B7" s="173" t="s">
        <v>822</v>
      </c>
      <c r="C7" s="203">
        <f>L6</f>
        <v>18.5</v>
      </c>
    </row>
    <row r="8" spans="1:47">
      <c r="B8" s="174" t="s">
        <v>4</v>
      </c>
      <c r="C8" s="81">
        <f>Inputs!B10</f>
        <v>2020</v>
      </c>
    </row>
    <row r="10" spans="1:4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T10" s="2"/>
      <c r="AU10" s="2"/>
    </row>
    <row r="11" spans="1:47" ht="15.75" thickBot="1">
      <c r="B11" s="1"/>
      <c r="C11" s="673" t="s">
        <v>486</v>
      </c>
      <c r="D11" s="673"/>
      <c r="E11" s="673" t="s">
        <v>486</v>
      </c>
      <c r="F11" s="673"/>
      <c r="G11" s="465"/>
      <c r="H11" s="2">
        <f>Inputs!$B$3</f>
        <v>7.0000000000000007E-2</v>
      </c>
      <c r="I11" s="2">
        <f>Inputs!$B$4</f>
        <v>0.03</v>
      </c>
    </row>
    <row r="12" spans="1:47" ht="51">
      <c r="A12" s="75" t="s">
        <v>147</v>
      </c>
      <c r="B12" s="254" t="s">
        <v>0</v>
      </c>
      <c r="C12" s="35" t="s">
        <v>263</v>
      </c>
      <c r="D12" s="4" t="s">
        <v>101</v>
      </c>
      <c r="E12" s="35" t="s">
        <v>99</v>
      </c>
      <c r="F12" s="4" t="s">
        <v>677</v>
      </c>
      <c r="G12" s="4" t="s">
        <v>678</v>
      </c>
      <c r="H12" s="5" t="s">
        <v>264</v>
      </c>
      <c r="I12" s="5" t="s">
        <v>265</v>
      </c>
    </row>
    <row r="13" spans="1:47" ht="14.45" customHeight="1">
      <c r="A13" s="511">
        <f>IF((B13&gt;(Inputs!$B$7+Inputs!$B$8)),0,IF((B13&lt;Inputs!$B$7),0,((B13-Inputs!$B$7))))</f>
        <v>0</v>
      </c>
      <c r="B13" s="255">
        <v>2018</v>
      </c>
      <c r="C13" s="257"/>
      <c r="D13" s="258">
        <v>0</v>
      </c>
      <c r="E13" s="257"/>
      <c r="F13" s="258">
        <v>0</v>
      </c>
      <c r="G13" s="258">
        <f>D13+F13</f>
        <v>0</v>
      </c>
      <c r="H13" s="258">
        <f>ROUND($D13/((1+H$11)^($B13-$C$8)),0)</f>
        <v>0</v>
      </c>
      <c r="I13" s="259">
        <f>ROUND($D13/((1+I$11)^($B13-$C$8)),0)</f>
        <v>0</v>
      </c>
    </row>
    <row r="14" spans="1:47" ht="14.45" customHeight="1">
      <c r="A14" s="511">
        <f>IF((B14&gt;(Inputs!$B$7+Inputs!$B$8)),0,IF((B14&lt;Inputs!$B$7),0,((B14-Inputs!$B$7))))</f>
        <v>0</v>
      </c>
      <c r="B14" s="255">
        <f>B13+1</f>
        <v>2019</v>
      </c>
      <c r="C14" s="261"/>
      <c r="D14" s="262">
        <f>IF((A14&gt;0),(C14*$C$5),0)</f>
        <v>0</v>
      </c>
      <c r="E14" s="261"/>
      <c r="F14" s="262">
        <f>IF((A14&gt;0),(E14*$F$5),0)</f>
        <v>0</v>
      </c>
      <c r="G14" s="262">
        <f>D14+F14</f>
        <v>0</v>
      </c>
      <c r="H14" s="258">
        <f>ROUND($G14/((1+H$11)^($B14-$C$8)),0)</f>
        <v>0</v>
      </c>
      <c r="I14" s="259">
        <f>ROUND($G14/((1+I$11)^($B14-$C$8)),0)</f>
        <v>0</v>
      </c>
    </row>
    <row r="15" spans="1:47">
      <c r="A15" s="511">
        <f>IF((B15&gt;(Inputs!$B$7+Inputs!$B$8)),0,IF((B15&lt;Inputs!$B$7),0,((B15-Inputs!$B$7))))</f>
        <v>0</v>
      </c>
      <c r="B15" s="255">
        <f t="shared" ref="B15:B55" si="0">B14+1</f>
        <v>2020</v>
      </c>
      <c r="C15" s="261">
        <f>$C$6*$C$7*Resiliency_Traffic_related_data!D46*Resiliency_Traffic_related_data!W55</f>
        <v>39938.174429920742</v>
      </c>
      <c r="D15" s="262">
        <f t="shared" ref="D15:D55" si="1">IF((A15&gt;0),(C15*$C$5),0)</f>
        <v>0</v>
      </c>
      <c r="E15" s="261">
        <f>$C$6*$C$7*Resiliency_Traffic_related_data!E46*Resiliency_Traffic_related_data!X55</f>
        <v>1593.4406874393778</v>
      </c>
      <c r="F15" s="262">
        <f t="shared" ref="F15:F55" si="2">IF((A15&gt;0),(E15*$F$5),0)</f>
        <v>0</v>
      </c>
      <c r="G15" s="262">
        <f t="shared" ref="G15:G55" si="3">D15+F15</f>
        <v>0</v>
      </c>
      <c r="H15" s="258">
        <f t="shared" ref="H15:I55" si="4">ROUND($G15/((1+H$11)^($B15-$C$8)),0)</f>
        <v>0</v>
      </c>
      <c r="I15" s="259">
        <f t="shared" si="4"/>
        <v>0</v>
      </c>
    </row>
    <row r="16" spans="1:47">
      <c r="A16" s="511">
        <f>IF((B16&gt;(Inputs!$B$7+Inputs!$B$8)),0,IF((B16&lt;Inputs!$B$7),0,((B16-Inputs!$B$7))))</f>
        <v>0</v>
      </c>
      <c r="B16" s="255">
        <f t="shared" si="0"/>
        <v>2021</v>
      </c>
      <c r="C16" s="261">
        <f>$C$6*$C$7*Resiliency_Traffic_related_data!D47*Resiliency_Traffic_related_data!W56</f>
        <v>46020.533180581006</v>
      </c>
      <c r="D16" s="262">
        <f t="shared" si="1"/>
        <v>0</v>
      </c>
      <c r="E16" s="261">
        <f>$C$6*$C$7*Resiliency_Traffic_related_data!E47*Resiliency_Traffic_related_data!X56</f>
        <v>1948.2553159625197</v>
      </c>
      <c r="F16" s="262">
        <f t="shared" si="2"/>
        <v>0</v>
      </c>
      <c r="G16" s="262">
        <f t="shared" si="3"/>
        <v>0</v>
      </c>
      <c r="H16" s="258">
        <f t="shared" si="4"/>
        <v>0</v>
      </c>
      <c r="I16" s="259">
        <f t="shared" si="4"/>
        <v>0</v>
      </c>
    </row>
    <row r="17" spans="1:9">
      <c r="A17" s="511">
        <f>IF((B17&gt;(Inputs!$B$7+Inputs!$B$8)),0,IF((B17&lt;Inputs!$B$7),0,((B17-Inputs!$B$7))))</f>
        <v>0</v>
      </c>
      <c r="B17" s="255">
        <f t="shared" si="0"/>
        <v>2022</v>
      </c>
      <c r="C17" s="261">
        <f>$C$6*$C$7*Resiliency_Traffic_related_data!D48*Resiliency_Traffic_related_data!W57</f>
        <v>52112.274146821997</v>
      </c>
      <c r="D17" s="262">
        <f t="shared" si="1"/>
        <v>0</v>
      </c>
      <c r="E17" s="261">
        <f>$C$6*$C$7*Resiliency_Traffic_related_data!E48*Resiliency_Traffic_related_data!X57</f>
        <v>2304.746386007319</v>
      </c>
      <c r="F17" s="262">
        <f t="shared" si="2"/>
        <v>0</v>
      </c>
      <c r="G17" s="262">
        <f t="shared" si="3"/>
        <v>0</v>
      </c>
      <c r="H17" s="258">
        <f t="shared" si="4"/>
        <v>0</v>
      </c>
      <c r="I17" s="259">
        <f t="shared" si="4"/>
        <v>0</v>
      </c>
    </row>
    <row r="18" spans="1:9">
      <c r="A18" s="511">
        <f>IF((B18&gt;(Inputs!$B$7+Inputs!$B$8)),0,IF((B18&lt;Inputs!$B$7),0,((B18-Inputs!$B$7))))</f>
        <v>0</v>
      </c>
      <c r="B18" s="255">
        <f t="shared" si="0"/>
        <v>2023</v>
      </c>
      <c r="C18" s="261">
        <f>$C$6*$C$7*Resiliency_Traffic_related_data!D49*Resiliency_Traffic_related_data!W58</f>
        <v>58215.621321700048</v>
      </c>
      <c r="D18" s="262">
        <f t="shared" si="1"/>
        <v>0</v>
      </c>
      <c r="E18" s="261">
        <f>$C$6*$C$7*Resiliency_Traffic_related_data!E49*Resiliency_Traffic_related_data!X58</f>
        <v>2663.0076995752397</v>
      </c>
      <c r="F18" s="262">
        <f t="shared" si="2"/>
        <v>0</v>
      </c>
      <c r="G18" s="262">
        <f t="shared" si="3"/>
        <v>0</v>
      </c>
      <c r="H18" s="258">
        <f t="shared" si="4"/>
        <v>0</v>
      </c>
      <c r="I18" s="259">
        <f t="shared" si="4"/>
        <v>0</v>
      </c>
    </row>
    <row r="19" spans="1:9">
      <c r="A19" s="511">
        <f>IF((B19&gt;(Inputs!$B$7+Inputs!$B$8)),0,IF((B19&lt;Inputs!$B$7),0,((B19-Inputs!$B$7))))</f>
        <v>0</v>
      </c>
      <c r="B19" s="255">
        <f t="shared" si="0"/>
        <v>2024</v>
      </c>
      <c r="C19" s="261">
        <f>$C$6*$C$7*Resiliency_Traffic_related_data!D50*Resiliency_Traffic_related_data!W59</f>
        <v>64332.744310511043</v>
      </c>
      <c r="D19" s="262">
        <f t="shared" si="1"/>
        <v>0</v>
      </c>
      <c r="E19" s="261">
        <f>$C$6*$C$7*Resiliency_Traffic_related_data!E50*Resiliency_Traffic_related_data!X59</f>
        <v>3023.1322888843902</v>
      </c>
      <c r="F19" s="262">
        <f t="shared" si="2"/>
        <v>0</v>
      </c>
      <c r="G19" s="262">
        <f t="shared" si="3"/>
        <v>0</v>
      </c>
      <c r="H19" s="258">
        <f t="shared" si="4"/>
        <v>0</v>
      </c>
      <c r="I19" s="259">
        <f t="shared" si="4"/>
        <v>0</v>
      </c>
    </row>
    <row r="20" spans="1:9">
      <c r="A20" s="511">
        <f>IF((B20&gt;(Inputs!$B$7+Inputs!$B$8)),0,IF((B20&lt;Inputs!$B$7),0,((B20-Inputs!$B$7))))</f>
        <v>0</v>
      </c>
      <c r="B20" s="255">
        <f t="shared" si="0"/>
        <v>2025</v>
      </c>
      <c r="C20" s="261">
        <f>$C$6*$C$7*Resiliency_Traffic_related_data!D51*Resiliency_Traffic_related_data!W60</f>
        <v>70465.761553521777</v>
      </c>
      <c r="D20" s="262">
        <f t="shared" si="1"/>
        <v>0</v>
      </c>
      <c r="E20" s="261">
        <f>$C$6*$C$7*Resiliency_Traffic_related_data!E51*Resiliency_Traffic_related_data!X60</f>
        <v>3385.2124521169917</v>
      </c>
      <c r="F20" s="262">
        <f t="shared" si="2"/>
        <v>0</v>
      </c>
      <c r="G20" s="262">
        <f t="shared" si="3"/>
        <v>0</v>
      </c>
      <c r="H20" s="258">
        <f t="shared" si="4"/>
        <v>0</v>
      </c>
      <c r="I20" s="259">
        <f t="shared" si="4"/>
        <v>0</v>
      </c>
    </row>
    <row r="21" spans="1:9">
      <c r="A21" s="511">
        <f>IF((B21&gt;(Inputs!$B$7+Inputs!$B$8)),0,IF((B21&lt;Inputs!$B$7),0,((B21-Inputs!$B$7))))</f>
        <v>1</v>
      </c>
      <c r="B21" s="255">
        <f t="shared" si="0"/>
        <v>2026</v>
      </c>
      <c r="C21" s="261">
        <f>$C$6*$C$7*Resiliency_Traffic_related_data!D52*Resiliency_Traffic_related_data!W61</f>
        <v>76616.743382312517</v>
      </c>
      <c r="D21" s="262">
        <f t="shared" si="1"/>
        <v>1271837.9401463878</v>
      </c>
      <c r="E21" s="261">
        <f>$C$6*$C$7*Resiliency_Traffic_related_data!E52*Resiliency_Traffic_related_data!X61</f>
        <v>3749.3397906192436</v>
      </c>
      <c r="F21" s="262">
        <f t="shared" si="2"/>
        <v>294773.88169622916</v>
      </c>
      <c r="G21" s="262">
        <f t="shared" si="3"/>
        <v>1566611.8218426169</v>
      </c>
      <c r="H21" s="258">
        <f t="shared" si="4"/>
        <v>1043900</v>
      </c>
      <c r="I21" s="259">
        <f t="shared" si="4"/>
        <v>1312013</v>
      </c>
    </row>
    <row r="22" spans="1:9">
      <c r="A22" s="511">
        <f>IF((B22&gt;(Inputs!$B$7+Inputs!$B$8)),0,IF((B22&lt;Inputs!$B$7),0,((B22-Inputs!$B$7))))</f>
        <v>2</v>
      </c>
      <c r="B22" s="255">
        <f t="shared" si="0"/>
        <v>2027</v>
      </c>
      <c r="C22" s="261">
        <f>$C$6*$C$7*Resiliency_Traffic_related_data!D53*Resiliency_Traffic_related_data!W62</f>
        <v>82787.714918650629</v>
      </c>
      <c r="D22" s="262">
        <f t="shared" si="1"/>
        <v>1374276.0676496006</v>
      </c>
      <c r="E22" s="261">
        <f>$C$6*$C$7*Resiliency_Traffic_related_data!E53*Resiliency_Traffic_related_data!X62</f>
        <v>4115.6052471893699</v>
      </c>
      <c r="F22" s="262">
        <f t="shared" si="2"/>
        <v>323569.74880716554</v>
      </c>
      <c r="G22" s="262">
        <f t="shared" si="3"/>
        <v>1697845.8164567661</v>
      </c>
      <c r="H22" s="258">
        <f t="shared" si="4"/>
        <v>1057333</v>
      </c>
      <c r="I22" s="259">
        <f t="shared" si="4"/>
        <v>1380504</v>
      </c>
    </row>
    <row r="23" spans="1:9">
      <c r="A23" s="511">
        <f>IF((B23&gt;(Inputs!$B$7+Inputs!$B$8)),0,IF((B23&lt;Inputs!$B$7),0,((B23-Inputs!$B$7))))</f>
        <v>3</v>
      </c>
      <c r="B23" s="255">
        <f t="shared" si="0"/>
        <v>2028</v>
      </c>
      <c r="C23" s="261">
        <f>$C$6*$C$7*Resiliency_Traffic_related_data!D54*Resiliency_Traffic_related_data!W63</f>
        <v>88980.658824470607</v>
      </c>
      <c r="D23" s="262">
        <f t="shared" si="1"/>
        <v>1477078.9364862123</v>
      </c>
      <c r="E23" s="261">
        <f>$C$6*$C$7*Resiliency_Traffic_related_data!E54*Resiliency_Traffic_related_data!X63</f>
        <v>4484.0991451447017</v>
      </c>
      <c r="F23" s="262">
        <f t="shared" si="2"/>
        <v>352540.81644777732</v>
      </c>
      <c r="G23" s="262">
        <f t="shared" si="3"/>
        <v>1829619.7529339897</v>
      </c>
      <c r="H23" s="258">
        <f t="shared" si="4"/>
        <v>1064855</v>
      </c>
      <c r="I23" s="259">
        <f t="shared" si="4"/>
        <v>1444319</v>
      </c>
    </row>
    <row r="24" spans="1:9">
      <c r="A24" s="511">
        <f>IF((B24&gt;(Inputs!$B$7+Inputs!$B$8)),0,IF((B24&lt;Inputs!$B$7),0,((B24-Inputs!$B$7))))</f>
        <v>4</v>
      </c>
      <c r="B24" s="255">
        <f t="shared" si="0"/>
        <v>2029</v>
      </c>
      <c r="C24" s="261">
        <f>$C$6*$C$7*Resiliency_Traffic_related_data!D55*Resiliency_Traffic_related_data!W64</f>
        <v>95197.517911199553</v>
      </c>
      <c r="D24" s="262">
        <f t="shared" si="1"/>
        <v>1580278.7973259126</v>
      </c>
      <c r="E24" s="261">
        <f>$C$6*$C$7*Resiliency_Traffic_related_data!E55*Resiliency_Traffic_related_data!X64</f>
        <v>4854.9112279065093</v>
      </c>
      <c r="F24" s="262">
        <f t="shared" si="2"/>
        <v>381694.14026469085</v>
      </c>
      <c r="G24" s="262">
        <f t="shared" si="3"/>
        <v>1961972.9375906035</v>
      </c>
      <c r="H24" s="258">
        <f t="shared" si="4"/>
        <v>1067183</v>
      </c>
      <c r="I24" s="259">
        <f t="shared" si="4"/>
        <v>1503689</v>
      </c>
    </row>
    <row r="25" spans="1:9">
      <c r="A25" s="511">
        <f>IF((B25&gt;(Inputs!$B$7+Inputs!$B$8)),0,IF((B25&lt;Inputs!$B$7),0,((B25-Inputs!$B$7))))</f>
        <v>5</v>
      </c>
      <c r="B25" s="255">
        <f t="shared" si="0"/>
        <v>2030</v>
      </c>
      <c r="C25" s="261">
        <f>$C$6*$C$7*Resiliency_Traffic_related_data!D56*Resiliency_Traffic_related_data!W65</f>
        <v>101440.19761629186</v>
      </c>
      <c r="D25" s="262">
        <f t="shared" si="1"/>
        <v>1683907.280430445</v>
      </c>
      <c r="E25" s="261">
        <f>$C$6*$C$7*Resiliency_Traffic_related_data!E56*Resiliency_Traffic_related_data!X65</f>
        <v>5228.1306988818769</v>
      </c>
      <c r="F25" s="262">
        <f t="shared" si="2"/>
        <v>411036.7334485036</v>
      </c>
      <c r="G25" s="262">
        <f t="shared" si="3"/>
        <v>2094944.0138789485</v>
      </c>
      <c r="H25" s="258">
        <f t="shared" si="4"/>
        <v>1064963</v>
      </c>
      <c r="I25" s="259">
        <f t="shared" si="4"/>
        <v>1558835</v>
      </c>
    </row>
    <row r="26" spans="1:9">
      <c r="A26" s="511">
        <f>IF((B26&gt;(Inputs!$B$7+Inputs!$B$8)),0,IF((B26&lt;Inputs!$B$7),0,((B26-Inputs!$B$7))))</f>
        <v>6</v>
      </c>
      <c r="B26" s="255">
        <f t="shared" si="0"/>
        <v>2031</v>
      </c>
      <c r="C26" s="261">
        <f>$C$6*$C$7*Resiliency_Traffic_related_data!D57*Resiliency_Traffic_related_data!W66</f>
        <v>107710.56835447415</v>
      </c>
      <c r="D26" s="262">
        <f t="shared" si="1"/>
        <v>1787995.434684271</v>
      </c>
      <c r="E26" s="261">
        <f>$C$6*$C$7*Resiliency_Traffic_related_data!E57*Resiliency_Traffic_related_data!X66</f>
        <v>5603.8462614574473</v>
      </c>
      <c r="F26" s="262">
        <f t="shared" si="2"/>
        <v>440575.56987810117</v>
      </c>
      <c r="G26" s="262">
        <f t="shared" si="3"/>
        <v>2228571.0045623723</v>
      </c>
      <c r="H26" s="258">
        <f t="shared" si="4"/>
        <v>1058778</v>
      </c>
      <c r="I26" s="259">
        <f t="shared" si="4"/>
        <v>1609967</v>
      </c>
    </row>
    <row r="27" spans="1:9">
      <c r="A27" s="511">
        <f>IF((B27&gt;(Inputs!$B$7+Inputs!$B$8)),0,IF((B27&lt;Inputs!$B$7),0,((B27-Inputs!$B$7))))</f>
        <v>7</v>
      </c>
      <c r="B27" s="255">
        <f t="shared" si="0"/>
        <v>2032</v>
      </c>
      <c r="C27" s="261">
        <f>$C$6*$C$7*Resiliency_Traffic_related_data!D58*Resiliency_Traffic_related_data!W67</f>
        <v>114010.46775083063</v>
      </c>
      <c r="D27" s="262">
        <f t="shared" si="1"/>
        <v>1892573.7646637887</v>
      </c>
      <c r="E27" s="261">
        <f>$C$6*$C$7*Resiliency_Traffic_related_data!E58*Resiliency_Traffic_related_data!X67</f>
        <v>5982.1461589499813</v>
      </c>
      <c r="F27" s="262">
        <f t="shared" si="2"/>
        <v>470317.58726157824</v>
      </c>
      <c r="G27" s="262">
        <f t="shared" si="3"/>
        <v>2362891.351925367</v>
      </c>
      <c r="H27" s="258">
        <f t="shared" si="4"/>
        <v>1049152</v>
      </c>
      <c r="I27" s="259">
        <f t="shared" si="4"/>
        <v>1657284</v>
      </c>
    </row>
    <row r="28" spans="1:9">
      <c r="A28" s="511">
        <f>IF((B28&gt;(Inputs!$B$7+Inputs!$B$8)),0,IF((B28&lt;Inputs!$B$7),0,((B28-Inputs!$B$7))))</f>
        <v>8</v>
      </c>
      <c r="B28" s="255">
        <f t="shared" si="0"/>
        <v>2033</v>
      </c>
      <c r="C28" s="261">
        <f>$C$6*$C$7*Resiliency_Traffic_related_data!D59*Resiliency_Traffic_related_data!W68</f>
        <v>120341.70276249612</v>
      </c>
      <c r="D28" s="262">
        <f t="shared" si="1"/>
        <v>1997672.2658574358</v>
      </c>
      <c r="E28" s="261">
        <f>$C$6*$C$7*Resiliency_Traffic_related_data!E59*Resiliency_Traffic_related_data!X68</f>
        <v>6363.1182143848737</v>
      </c>
      <c r="F28" s="262">
        <f t="shared" si="2"/>
        <v>500269.69026363414</v>
      </c>
      <c r="G28" s="262">
        <f t="shared" si="3"/>
        <v>2497941.9561210698</v>
      </c>
      <c r="H28" s="258">
        <f t="shared" si="4"/>
        <v>1036557</v>
      </c>
      <c r="I28" s="259">
        <f t="shared" si="4"/>
        <v>1700977</v>
      </c>
    </row>
    <row r="29" spans="1:9">
      <c r="A29" s="511">
        <f>IF((B29&gt;(Inputs!$B$7+Inputs!$B$8)),0,IF((B29&lt;Inputs!$B$7),0,((B29-Inputs!$B$7))))</f>
        <v>9</v>
      </c>
      <c r="B29" s="255">
        <f t="shared" si="0"/>
        <v>2034</v>
      </c>
      <c r="C29" s="261">
        <f>$C$6*$C$7*Resiliency_Traffic_related_data!D60*Resiliency_Traffic_related_data!W69</f>
        <v>126706.05169536847</v>
      </c>
      <c r="D29" s="262">
        <f t="shared" si="1"/>
        <v>2103320.4581431169</v>
      </c>
      <c r="E29" s="261">
        <f>$C$6*$C$7*Resiliency_Traffic_related_data!E60*Resiliency_Traffic_related_data!X69</f>
        <v>6746.8498699961583</v>
      </c>
      <c r="F29" s="262">
        <f t="shared" si="2"/>
        <v>530438.75361107138</v>
      </c>
      <c r="G29" s="262">
        <f t="shared" si="3"/>
        <v>2633759.2117541884</v>
      </c>
      <c r="H29" s="258">
        <f t="shared" si="4"/>
        <v>1021417</v>
      </c>
      <c r="I29" s="259">
        <f t="shared" si="4"/>
        <v>1741225</v>
      </c>
    </row>
    <row r="30" spans="1:9">
      <c r="A30" s="511">
        <f>IF((B30&gt;(Inputs!$B$7+Inputs!$B$8)),0,IF((B30&lt;Inputs!$B$7),0,((B30-Inputs!$B$7))))</f>
        <v>10</v>
      </c>
      <c r="B30" s="255">
        <f t="shared" si="0"/>
        <v>2035</v>
      </c>
      <c r="C30" s="261">
        <f>$C$6*$C$7*Resiliency_Traffic_related_data!D61*Resiliency_Traffic_related_data!W70</f>
        <v>133105.26612190384</v>
      </c>
      <c r="D30" s="262">
        <f t="shared" si="1"/>
        <v>2209547.4176236042</v>
      </c>
      <c r="E30" s="261">
        <f>$C$6*$C$7*Resiliency_Traffic_related_data!E61*Resiliency_Traffic_related_data!X70</f>
        <v>7133.4282263608975</v>
      </c>
      <c r="F30" s="262">
        <f t="shared" si="2"/>
        <v>560831.6251695496</v>
      </c>
      <c r="G30" s="262">
        <f t="shared" si="3"/>
        <v>2770379.0427931538</v>
      </c>
      <c r="H30" s="258">
        <f t="shared" si="4"/>
        <v>1004113</v>
      </c>
      <c r="I30" s="259">
        <f t="shared" si="4"/>
        <v>1778201</v>
      </c>
    </row>
    <row r="31" spans="1:9">
      <c r="A31" s="511">
        <f>IF((B31&gt;(Inputs!$B$7+Inputs!$B$8)),0,IF((B31&lt;Inputs!$B$7),0,((B31-Inputs!$B$7))))</f>
        <v>11</v>
      </c>
      <c r="B31" s="255">
        <f t="shared" si="0"/>
        <v>2036</v>
      </c>
      <c r="C31" s="261">
        <f>$C$6*$C$7*Resiliency_Traffic_related_data!D62*Resiliency_Traffic_related_data!W71</f>
        <v>139541.07270573176</v>
      </c>
      <c r="D31" s="262">
        <f t="shared" si="1"/>
        <v>2316381.8069151472</v>
      </c>
      <c r="E31" s="261">
        <f>$C$6*$C$7*Resiliency_Traffic_related_data!E62*Resiliency_Traffic_related_data!X71</f>
        <v>7522.9400810973284</v>
      </c>
      <c r="F31" s="262">
        <f t="shared" si="2"/>
        <v>591455.12898604211</v>
      </c>
      <c r="G31" s="262">
        <f t="shared" si="3"/>
        <v>2907836.9359011892</v>
      </c>
      <c r="H31" s="258">
        <f t="shared" si="4"/>
        <v>984985</v>
      </c>
      <c r="I31" s="259">
        <f t="shared" si="4"/>
        <v>1812068</v>
      </c>
    </row>
    <row r="32" spans="1:9">
      <c r="A32" s="511">
        <f>IF((B32&gt;(Inputs!$B$7+Inputs!$B$8)),0,IF((B32&lt;Inputs!$B$7),0,((B32-Inputs!$B$7))))</f>
        <v>12</v>
      </c>
      <c r="B32" s="255">
        <f t="shared" si="0"/>
        <v>2037</v>
      </c>
      <c r="C32" s="261">
        <f>$C$6*$C$7*Resiliency_Traffic_related_data!D63*Resiliency_Traffic_related_data!W72</f>
        <v>146015.1749384955</v>
      </c>
      <c r="D32" s="262">
        <f t="shared" si="1"/>
        <v>2423851.9039790258</v>
      </c>
      <c r="E32" s="261">
        <f>$C$6*$C$7*Resiliency_Traffic_related_data!E63*Resiliency_Traffic_related_data!X72</f>
        <v>7915.4719670704626</v>
      </c>
      <c r="F32" s="262">
        <f t="shared" si="2"/>
        <v>622316.06829256774</v>
      </c>
      <c r="G32" s="262">
        <f t="shared" si="3"/>
        <v>3046167.9722715933</v>
      </c>
      <c r="H32" s="258">
        <f t="shared" si="4"/>
        <v>964339</v>
      </c>
      <c r="I32" s="259">
        <f t="shared" si="4"/>
        <v>1842982</v>
      </c>
    </row>
    <row r="33" spans="1:9">
      <c r="A33" s="511">
        <f>IF((B33&gt;(Inputs!$B$7+Inputs!$B$8)),0,IF((B33&lt;Inputs!$B$7),0,((B33-Inputs!$B$7))))</f>
        <v>13</v>
      </c>
      <c r="B33" s="255">
        <f t="shared" si="0"/>
        <v>2038</v>
      </c>
      <c r="C33" s="261">
        <f>$C$6*$C$7*Resiliency_Traffic_related_data!D64*Resiliency_Traffic_related_data!W73</f>
        <v>152529.25479402932</v>
      </c>
      <c r="D33" s="262">
        <f t="shared" si="1"/>
        <v>2531985.629580887</v>
      </c>
      <c r="E33" s="261">
        <f>$C$6*$C$7*Resiliency_Traffic_related_data!E64*Resiliency_Traffic_related_data!X73</f>
        <v>8311.1101900609337</v>
      </c>
      <c r="F33" s="262">
        <f t="shared" si="2"/>
        <v>653421.22846772429</v>
      </c>
      <c r="G33" s="262">
        <f t="shared" si="3"/>
        <v>3185406.8580486113</v>
      </c>
      <c r="H33" s="258">
        <f t="shared" si="4"/>
        <v>942447</v>
      </c>
      <c r="I33" s="259">
        <f t="shared" si="4"/>
        <v>1871091</v>
      </c>
    </row>
    <row r="34" spans="1:9">
      <c r="A34" s="511">
        <f>IF((B34&gt;(Inputs!$B$7+Inputs!$B$8)),0,IF((B34&lt;Inputs!$B$7),0,((B34-Inputs!$B$7))))</f>
        <v>14</v>
      </c>
      <c r="B34" s="255">
        <f t="shared" si="0"/>
        <v>2039</v>
      </c>
      <c r="C34" s="261">
        <f>$C$6*$C$7*Resiliency_Traffic_related_data!D65*Resiliency_Traffic_related_data!W74</f>
        <v>159084.97430468036</v>
      </c>
      <c r="D34" s="262">
        <f t="shared" si="1"/>
        <v>2640810.5734576941</v>
      </c>
      <c r="E34" s="261">
        <f>$C$6*$C$7*Resiliency_Traffic_related_data!E65*Resiliency_Traffic_related_data!X74</f>
        <v>8709.9408658634275</v>
      </c>
      <c r="F34" s="262">
        <f t="shared" si="2"/>
        <v>684777.37995337415</v>
      </c>
      <c r="G34" s="262">
        <f t="shared" si="3"/>
        <v>3325587.9534110683</v>
      </c>
      <c r="H34" s="264">
        <f t="shared" si="4"/>
        <v>919553</v>
      </c>
      <c r="I34" s="265">
        <f t="shared" si="4"/>
        <v>1896536</v>
      </c>
    </row>
    <row r="35" spans="1:9">
      <c r="A35" s="511">
        <f>IF((B35&gt;(Inputs!$B$7+Inputs!$B$8)),0,IF((B35&lt;Inputs!$B$7),0,((B35-Inputs!$B$7))))</f>
        <v>15</v>
      </c>
      <c r="B35" s="255">
        <f t="shared" si="0"/>
        <v>2040</v>
      </c>
      <c r="C35" s="261">
        <f>$C$6*$C$7*Resiliency_Traffic_related_data!D66*Resiliency_Traffic_related_data!W75</f>
        <v>165683.97706431494</v>
      </c>
      <c r="D35" s="262">
        <f t="shared" si="1"/>
        <v>2750354.0192676284</v>
      </c>
      <c r="E35" s="261">
        <f>$C$6*$C$7*Resiliency_Traffic_related_data!E66*Resiliency_Traffic_related_data!X75</f>
        <v>9112.0499567899369</v>
      </c>
      <c r="F35" s="262">
        <f t="shared" si="2"/>
        <v>716391.28112453804</v>
      </c>
      <c r="G35" s="262">
        <f t="shared" si="3"/>
        <v>3466745.3003921667</v>
      </c>
      <c r="H35" s="258">
        <f t="shared" si="4"/>
        <v>895873</v>
      </c>
      <c r="I35" s="259">
        <f t="shared" si="4"/>
        <v>1919453</v>
      </c>
    </row>
    <row r="36" spans="1:9">
      <c r="A36" s="511">
        <f>IF((B36&gt;(Inputs!$B$7+Inputs!$B$8)),0,IF((B36&lt;Inputs!$B$7),0,((B36-Inputs!$B$7))))</f>
        <v>16</v>
      </c>
      <c r="B36" s="255">
        <f t="shared" si="0"/>
        <v>2041</v>
      </c>
      <c r="C36" s="261">
        <f>$C$6*$C$7*Resiliency_Traffic_related_data!D67*Resiliency_Traffic_related_data!W76</f>
        <v>172327.88966227398</v>
      </c>
      <c r="D36" s="262">
        <f t="shared" si="1"/>
        <v>2860642.9683937486</v>
      </c>
      <c r="E36" s="261">
        <f>$C$6*$C$7*Resiliency_Traffic_related_data!E67*Resiliency_Traffic_related_data!X76</f>
        <v>9517.523307560512</v>
      </c>
      <c r="F36" s="262">
        <f t="shared" si="2"/>
        <v>748269.68111113366</v>
      </c>
      <c r="G36" s="262">
        <f t="shared" si="3"/>
        <v>3608912.6495048823</v>
      </c>
      <c r="H36" s="258">
        <f t="shared" si="4"/>
        <v>871600</v>
      </c>
      <c r="I36" s="259">
        <f t="shared" si="4"/>
        <v>1939968</v>
      </c>
    </row>
    <row r="37" spans="1:9">
      <c r="A37" s="511">
        <f>IF((B37&gt;(Inputs!$B$7+Inputs!$B$8)),0,IF((B37&lt;Inputs!$B$7),0,((B37-Inputs!$B$7))))</f>
        <v>17</v>
      </c>
      <c r="B37" s="255">
        <f t="shared" si="0"/>
        <v>2042</v>
      </c>
      <c r="C37" s="261">
        <f>$C$6*$C$7*Resiliency_Traffic_related_data!D68*Resiliency_Traffic_related_data!W77</f>
        <v>179018.32305230643</v>
      </c>
      <c r="D37" s="262">
        <f t="shared" si="1"/>
        <v>2971704.1626682868</v>
      </c>
      <c r="E37" s="261">
        <f>$C$6*$C$7*Resiliency_Traffic_related_data!E68*Resiliency_Traffic_related_data!X77</f>
        <v>9926.4466805709562</v>
      </c>
      <c r="F37" s="262">
        <f t="shared" si="2"/>
        <v>780419.32257072919</v>
      </c>
      <c r="G37" s="262">
        <f t="shared" si="3"/>
        <v>3752123.4852390159</v>
      </c>
      <c r="H37" s="258">
        <f t="shared" si="4"/>
        <v>846904</v>
      </c>
      <c r="I37" s="259">
        <f t="shared" si="4"/>
        <v>1958205</v>
      </c>
    </row>
    <row r="38" spans="1:9">
      <c r="A38" s="511">
        <f>IF((B38&gt;(Inputs!$B$7+Inputs!$B$8)),0,IF((B38&lt;Inputs!$B$7),0,((B38-Inputs!$B$7))))</f>
        <v>18</v>
      </c>
      <c r="B38" s="255">
        <f t="shared" si="0"/>
        <v>2043</v>
      </c>
      <c r="C38" s="261">
        <f>$C$6*$C$7*Resiliency_Traffic_related_data!D69*Resiliency_Traffic_related_data!W78</f>
        <v>185756.87386025849</v>
      </c>
      <c r="D38" s="262">
        <f t="shared" si="1"/>
        <v>3083564.1060802913</v>
      </c>
      <c r="E38" s="261">
        <f>$C$6*$C$7*Resiliency_Traffic_related_data!E69*Resiliency_Traffic_related_data!X78</f>
        <v>10338.905790532157</v>
      </c>
      <c r="F38" s="262">
        <f t="shared" si="2"/>
        <v>812846.94441189466</v>
      </c>
      <c r="G38" s="262">
        <f t="shared" si="3"/>
        <v>3896411.0504921861</v>
      </c>
      <c r="H38" s="258">
        <f t="shared" si="4"/>
        <v>821936</v>
      </c>
      <c r="I38" s="259">
        <f t="shared" si="4"/>
        <v>1974279</v>
      </c>
    </row>
    <row r="39" spans="1:9">
      <c r="A39" s="511">
        <f>IF((B39&gt;(Inputs!$B$7+Inputs!$B$8)),0,IF((B39&lt;Inputs!$B$7),0,((B39-Inputs!$B$7))))</f>
        <v>19</v>
      </c>
      <c r="B39" s="255">
        <f t="shared" si="0"/>
        <v>2044</v>
      </c>
      <c r="C39" s="261">
        <f>$C$6*$C$7*Resiliency_Traffic_related_data!D70*Resiliency_Traffic_related_data!W79</f>
        <v>192545.12563408705</v>
      </c>
      <c r="D39" s="262">
        <f t="shared" si="1"/>
        <v>3196249.0855258452</v>
      </c>
      <c r="E39" s="261">
        <f>$C$6*$C$7*Resiliency_Traffic_related_data!E70*Resiliency_Traffic_related_data!X79</f>
        <v>10754.986338480559</v>
      </c>
      <c r="F39" s="262">
        <f t="shared" si="2"/>
        <v>845559.28446811228</v>
      </c>
      <c r="G39" s="262">
        <f t="shared" si="3"/>
        <v>4041808.3699939577</v>
      </c>
      <c r="H39" s="258">
        <f t="shared" si="4"/>
        <v>796829</v>
      </c>
      <c r="I39" s="259">
        <f t="shared" si="4"/>
        <v>1988302</v>
      </c>
    </row>
    <row r="40" spans="1:9">
      <c r="A40" s="511">
        <f>IF((B40&gt;(Inputs!$B$7+Inputs!$B$8)),0,IF((B40&lt;Inputs!$B$7),0,((B40-Inputs!$B$7))))</f>
        <v>20</v>
      </c>
      <c r="B40" s="255">
        <f t="shared" si="0"/>
        <v>2045</v>
      </c>
      <c r="C40" s="261">
        <f>$C$6*$C$7*Resiliency_Traffic_related_data!D71*Resiliency_Traffic_related_data!W80</f>
        <v>199384.65003954244</v>
      </c>
      <c r="D40" s="262">
        <f t="shared" si="1"/>
        <v>3309785.1906564049</v>
      </c>
      <c r="E40" s="261">
        <f>$C$6*$C$7*Resiliency_Traffic_related_data!E71*Resiliency_Traffic_related_data!X80</f>
        <v>11174.774045162922</v>
      </c>
      <c r="F40" s="262">
        <f t="shared" si="2"/>
        <v>878563.08212249354</v>
      </c>
      <c r="G40" s="262">
        <f t="shared" si="3"/>
        <v>4188348.2727788985</v>
      </c>
      <c r="H40" s="258">
        <f t="shared" si="4"/>
        <v>771700</v>
      </c>
      <c r="I40" s="259">
        <f t="shared" si="4"/>
        <v>2000378</v>
      </c>
    </row>
    <row r="41" spans="1:9">
      <c r="A41" s="511">
        <f>IF((B41&gt;(Inputs!$B$7+Inputs!$B$8)),0,IF((B41&lt;Inputs!$B$7),0,((B41-Inputs!$B$7))))</f>
        <v>21</v>
      </c>
      <c r="B41" s="255">
        <f t="shared" si="0"/>
        <v>2046</v>
      </c>
      <c r="C41" s="261">
        <f>$C$6*$C$7*Resiliency_Traffic_related_data!D72*Resiliency_Traffic_related_data!W81</f>
        <v>201776.32065571877</v>
      </c>
      <c r="D41" s="262">
        <f t="shared" si="1"/>
        <v>3349486.9228849318</v>
      </c>
      <c r="E41" s="261">
        <f>$C$6*$C$7*Resiliency_Traffic_related_data!E72*Resiliency_Traffic_related_data!X81</f>
        <v>11308.818359612029</v>
      </c>
      <c r="F41" s="262">
        <f t="shared" si="2"/>
        <v>889101.67427365936</v>
      </c>
      <c r="G41" s="262">
        <f t="shared" si="3"/>
        <v>4238588.5971585913</v>
      </c>
      <c r="H41" s="258">
        <f t="shared" si="4"/>
        <v>729866</v>
      </c>
      <c r="I41" s="259">
        <f t="shared" si="4"/>
        <v>1965411</v>
      </c>
    </row>
    <row r="42" spans="1:9">
      <c r="A42" s="511">
        <f>IF((B42&gt;(Inputs!$B$7+Inputs!$B$8)),0,IF((B42&lt;Inputs!$B$7),0,((B42-Inputs!$B$7))))</f>
        <v>22</v>
      </c>
      <c r="B42" s="255">
        <f t="shared" si="0"/>
        <v>2047</v>
      </c>
      <c r="C42" s="261">
        <f>$C$6*$C$7*Resiliency_Traffic_related_data!D73*Resiliency_Traffic_related_data!W82</f>
        <v>201776.32065571871</v>
      </c>
      <c r="D42" s="262">
        <f t="shared" si="1"/>
        <v>3349486.9228849309</v>
      </c>
      <c r="E42" s="261">
        <f>$C$6*$C$7*Resiliency_Traffic_related_data!E73*Resiliency_Traffic_related_data!X82</f>
        <v>11308.818359612027</v>
      </c>
      <c r="F42" s="262">
        <f t="shared" si="2"/>
        <v>889101.67427365913</v>
      </c>
      <c r="G42" s="262">
        <f t="shared" si="3"/>
        <v>4238588.5971585903</v>
      </c>
      <c r="H42" s="258">
        <f t="shared" si="4"/>
        <v>682118</v>
      </c>
      <c r="I42" s="259">
        <f t="shared" si="4"/>
        <v>1908166</v>
      </c>
    </row>
    <row r="43" spans="1:9">
      <c r="A43" s="511">
        <f>IF((B43&gt;(Inputs!$B$7+Inputs!$B$8)),0,IF((B43&lt;Inputs!$B$7),0,((B43-Inputs!$B$7))))</f>
        <v>23</v>
      </c>
      <c r="B43" s="255">
        <f t="shared" si="0"/>
        <v>2048</v>
      </c>
      <c r="C43" s="261">
        <f>$C$6*$C$7*Resiliency_Traffic_related_data!D74*Resiliency_Traffic_related_data!W83</f>
        <v>201776.32065571871</v>
      </c>
      <c r="D43" s="262">
        <f t="shared" si="1"/>
        <v>3349486.9228849309</v>
      </c>
      <c r="E43" s="261">
        <f>$C$6*$C$7*Resiliency_Traffic_related_data!E74*Resiliency_Traffic_related_data!X83</f>
        <v>11308.818359612027</v>
      </c>
      <c r="F43" s="262">
        <f t="shared" si="2"/>
        <v>889101.67427365913</v>
      </c>
      <c r="G43" s="262">
        <f t="shared" si="3"/>
        <v>4238588.5971585903</v>
      </c>
      <c r="H43" s="258">
        <f t="shared" si="4"/>
        <v>637493</v>
      </c>
      <c r="I43" s="259">
        <f t="shared" si="4"/>
        <v>1852589</v>
      </c>
    </row>
    <row r="44" spans="1:9">
      <c r="A44" s="511">
        <f>IF((B44&gt;(Inputs!$B$7+Inputs!$B$8)),0,IF((B44&lt;Inputs!$B$7),0,((B44-Inputs!$B$7))))</f>
        <v>24</v>
      </c>
      <c r="B44" s="255">
        <f t="shared" si="0"/>
        <v>2049</v>
      </c>
      <c r="C44" s="261">
        <f>$C$6*$C$7*Resiliency_Traffic_related_data!D75*Resiliency_Traffic_related_data!W84</f>
        <v>201776.32065571871</v>
      </c>
      <c r="D44" s="262">
        <f t="shared" si="1"/>
        <v>3349486.9228849309</v>
      </c>
      <c r="E44" s="261">
        <f>$C$6*$C$7*Resiliency_Traffic_related_data!E75*Resiliency_Traffic_related_data!X84</f>
        <v>11308.818359612027</v>
      </c>
      <c r="F44" s="262">
        <f t="shared" si="2"/>
        <v>889101.67427365913</v>
      </c>
      <c r="G44" s="262">
        <f t="shared" si="3"/>
        <v>4238588.5971585903</v>
      </c>
      <c r="H44" s="258">
        <f t="shared" si="4"/>
        <v>595788</v>
      </c>
      <c r="I44" s="259">
        <f t="shared" si="4"/>
        <v>1798630</v>
      </c>
    </row>
    <row r="45" spans="1:9">
      <c r="A45" s="511">
        <f>IF((B45&gt;(Inputs!$B$7+Inputs!$B$8)),0,IF((B45&lt;Inputs!$B$7),0,((B45-Inputs!$B$7))))</f>
        <v>25</v>
      </c>
      <c r="B45" s="255">
        <f t="shared" si="0"/>
        <v>2050</v>
      </c>
      <c r="C45" s="261">
        <f>$C$6*$C$7*Resiliency_Traffic_related_data!D76*Resiliency_Traffic_related_data!W85</f>
        <v>201776.32065571871</v>
      </c>
      <c r="D45" s="262">
        <f t="shared" si="1"/>
        <v>3349486.9228849309</v>
      </c>
      <c r="E45" s="261">
        <f>$C$6*$C$7*Resiliency_Traffic_related_data!E76*Resiliency_Traffic_related_data!X85</f>
        <v>11308.818359612027</v>
      </c>
      <c r="F45" s="262">
        <f t="shared" si="2"/>
        <v>889101.67427365913</v>
      </c>
      <c r="G45" s="262">
        <f t="shared" si="3"/>
        <v>4238588.5971585903</v>
      </c>
      <c r="H45" s="258">
        <f t="shared" si="4"/>
        <v>556811</v>
      </c>
      <c r="I45" s="259">
        <f t="shared" si="4"/>
        <v>1746242</v>
      </c>
    </row>
    <row r="46" spans="1:9">
      <c r="A46" s="511">
        <f>IF((B46&gt;(Inputs!$B$7+Inputs!$B$8)),0,IF((B46&lt;Inputs!$B$7),0,((B46-Inputs!$B$7))))</f>
        <v>26</v>
      </c>
      <c r="B46" s="255">
        <f t="shared" si="0"/>
        <v>2051</v>
      </c>
      <c r="C46" s="261">
        <f>$C$6*$C$7*Resiliency_Traffic_related_data!D77*Resiliency_Traffic_related_data!W86</f>
        <v>201776.32065571871</v>
      </c>
      <c r="D46" s="262">
        <f t="shared" si="1"/>
        <v>3349486.9228849309</v>
      </c>
      <c r="E46" s="261">
        <f>$C$6*$C$7*Resiliency_Traffic_related_data!E77*Resiliency_Traffic_related_data!X86</f>
        <v>11308.818359612027</v>
      </c>
      <c r="F46" s="262">
        <f t="shared" si="2"/>
        <v>889101.67427365913</v>
      </c>
      <c r="G46" s="262">
        <f t="shared" si="3"/>
        <v>4238588.5971585903</v>
      </c>
      <c r="H46" s="258">
        <f t="shared" si="4"/>
        <v>520384</v>
      </c>
      <c r="I46" s="259">
        <f t="shared" si="4"/>
        <v>1695381</v>
      </c>
    </row>
    <row r="47" spans="1:9">
      <c r="A47" s="511">
        <f>IF((B47&gt;(Inputs!$B$7+Inputs!$B$8)),0,IF((B47&lt;Inputs!$B$7),0,((B47-Inputs!$B$7))))</f>
        <v>27</v>
      </c>
      <c r="B47" s="255">
        <f t="shared" si="0"/>
        <v>2052</v>
      </c>
      <c r="C47" s="261">
        <f>$C$6*$C$7*Resiliency_Traffic_related_data!D78*Resiliency_Traffic_related_data!W87</f>
        <v>201776.32065571871</v>
      </c>
      <c r="D47" s="262">
        <f t="shared" si="1"/>
        <v>3349486.9228849309</v>
      </c>
      <c r="E47" s="261">
        <f>$C$6*$C$7*Resiliency_Traffic_related_data!E78*Resiliency_Traffic_related_data!X87</f>
        <v>11308.818359612027</v>
      </c>
      <c r="F47" s="262">
        <f t="shared" si="2"/>
        <v>889101.67427365913</v>
      </c>
      <c r="G47" s="262">
        <f t="shared" si="3"/>
        <v>4238588.5971585903</v>
      </c>
      <c r="H47" s="258">
        <f t="shared" si="4"/>
        <v>486340</v>
      </c>
      <c r="I47" s="259">
        <f t="shared" si="4"/>
        <v>1646001</v>
      </c>
    </row>
    <row r="48" spans="1:9">
      <c r="A48" s="511">
        <f>IF((B48&gt;(Inputs!$B$7+Inputs!$B$8)),0,IF((B48&lt;Inputs!$B$7),0,((B48-Inputs!$B$7))))</f>
        <v>28</v>
      </c>
      <c r="B48" s="255">
        <f t="shared" si="0"/>
        <v>2053</v>
      </c>
      <c r="C48" s="261">
        <f>$C$6*$C$7*Resiliency_Traffic_related_data!D79*Resiliency_Traffic_related_data!W88</f>
        <v>201776.32065571871</v>
      </c>
      <c r="D48" s="262">
        <f t="shared" si="1"/>
        <v>3349486.9228849309</v>
      </c>
      <c r="E48" s="261">
        <f>$C$6*$C$7*Resiliency_Traffic_related_data!E79*Resiliency_Traffic_related_data!X88</f>
        <v>11308.818359612027</v>
      </c>
      <c r="F48" s="262">
        <f t="shared" si="2"/>
        <v>889101.67427365913</v>
      </c>
      <c r="G48" s="262">
        <f t="shared" si="3"/>
        <v>4238588.5971585903</v>
      </c>
      <c r="H48" s="258">
        <f t="shared" si="4"/>
        <v>454524</v>
      </c>
      <c r="I48" s="259">
        <f t="shared" si="4"/>
        <v>1598059</v>
      </c>
    </row>
    <row r="49" spans="1:9">
      <c r="A49" s="511">
        <f>IF((B49&gt;(Inputs!$B$7+Inputs!$B$8)),0,IF((B49&lt;Inputs!$B$7),0,((B49-Inputs!$B$7))))</f>
        <v>29</v>
      </c>
      <c r="B49" s="255">
        <f t="shared" si="0"/>
        <v>2054</v>
      </c>
      <c r="C49" s="261">
        <f>$C$6*$C$7*Resiliency_Traffic_related_data!D80*Resiliency_Traffic_related_data!W89</f>
        <v>201776.32065571871</v>
      </c>
      <c r="D49" s="262">
        <f t="shared" si="1"/>
        <v>3349486.9228849309</v>
      </c>
      <c r="E49" s="261">
        <f>$C$6*$C$7*Resiliency_Traffic_related_data!E80*Resiliency_Traffic_related_data!X89</f>
        <v>11308.818359612027</v>
      </c>
      <c r="F49" s="262">
        <f t="shared" si="2"/>
        <v>889101.67427365913</v>
      </c>
      <c r="G49" s="262">
        <f t="shared" si="3"/>
        <v>4238588.5971585903</v>
      </c>
      <c r="H49" s="258">
        <f t="shared" si="4"/>
        <v>424789</v>
      </c>
      <c r="I49" s="259">
        <f t="shared" si="4"/>
        <v>1551514</v>
      </c>
    </row>
    <row r="50" spans="1:9">
      <c r="A50" s="511">
        <f>IF((B50&gt;(Inputs!$B$7+Inputs!$B$8)),0,IF((B50&lt;Inputs!$B$7),0,((B50-Inputs!$B$7))))</f>
        <v>30</v>
      </c>
      <c r="B50" s="255">
        <f t="shared" si="0"/>
        <v>2055</v>
      </c>
      <c r="C50" s="261">
        <f>$C$6*$C$7*Resiliency_Traffic_related_data!D81*Resiliency_Traffic_related_data!W90</f>
        <v>201776.32065571871</v>
      </c>
      <c r="D50" s="262">
        <f t="shared" si="1"/>
        <v>3349486.9228849309</v>
      </c>
      <c r="E50" s="261">
        <f>$C$6*$C$7*Resiliency_Traffic_related_data!E81*Resiliency_Traffic_related_data!X90</f>
        <v>11308.818359612027</v>
      </c>
      <c r="F50" s="262">
        <f t="shared" si="2"/>
        <v>889101.67427365913</v>
      </c>
      <c r="G50" s="262">
        <f t="shared" si="3"/>
        <v>4238588.5971585903</v>
      </c>
      <c r="H50" s="258">
        <f t="shared" si="4"/>
        <v>396999</v>
      </c>
      <c r="I50" s="259">
        <f t="shared" si="4"/>
        <v>1506324</v>
      </c>
    </row>
    <row r="51" spans="1:9">
      <c r="A51" s="511">
        <f>IF((B51&gt;(Inputs!$B$7+Inputs!$B$8)),0,IF((B51&lt;Inputs!$B$7),0,((B51-Inputs!$B$7))))</f>
        <v>0</v>
      </c>
      <c r="B51" s="255">
        <f t="shared" si="0"/>
        <v>2056</v>
      </c>
      <c r="C51" s="261">
        <f>$C$6*$C$7*Resiliency_Traffic_related_data!D82*Resiliency_Traffic_related_data!W91</f>
        <v>201776.32065571871</v>
      </c>
      <c r="D51" s="262">
        <f t="shared" si="1"/>
        <v>0</v>
      </c>
      <c r="E51" s="261">
        <f>$C$6*$C$7*Resiliency_Traffic_related_data!E82*Resiliency_Traffic_related_data!X91</f>
        <v>11308.818359612027</v>
      </c>
      <c r="F51" s="262">
        <f t="shared" si="2"/>
        <v>0</v>
      </c>
      <c r="G51" s="262">
        <f t="shared" si="3"/>
        <v>0</v>
      </c>
      <c r="H51" s="258">
        <f t="shared" si="4"/>
        <v>0</v>
      </c>
      <c r="I51" s="259">
        <f t="shared" si="4"/>
        <v>0</v>
      </c>
    </row>
    <row r="52" spans="1:9">
      <c r="A52" s="511">
        <f>IF((B52&gt;(Inputs!$B$7+Inputs!$B$8)),0,IF((B52&lt;Inputs!$B$7),0,((B52-Inputs!$B$7))))</f>
        <v>0</v>
      </c>
      <c r="B52" s="255">
        <f t="shared" si="0"/>
        <v>2057</v>
      </c>
      <c r="C52" s="261">
        <f>$C$6*$C$7*Resiliency_Traffic_related_data!D83*Resiliency_Traffic_related_data!W92</f>
        <v>201776.32065571871</v>
      </c>
      <c r="D52" s="262">
        <f t="shared" si="1"/>
        <v>0</v>
      </c>
      <c r="E52" s="261">
        <f>$C$6*$C$7*Resiliency_Traffic_related_data!E83*Resiliency_Traffic_related_data!X92</f>
        <v>11308.818359612027</v>
      </c>
      <c r="F52" s="262">
        <f t="shared" si="2"/>
        <v>0</v>
      </c>
      <c r="G52" s="262">
        <f t="shared" si="3"/>
        <v>0</v>
      </c>
      <c r="H52" s="258">
        <f t="shared" si="4"/>
        <v>0</v>
      </c>
      <c r="I52" s="259">
        <f t="shared" si="4"/>
        <v>0</v>
      </c>
    </row>
    <row r="53" spans="1:9">
      <c r="A53" s="511">
        <f>IF((B53&gt;(Inputs!$B$7+Inputs!$B$8)),0,IF((B53&lt;Inputs!$B$7),0,((B53-Inputs!$B$7))))</f>
        <v>0</v>
      </c>
      <c r="B53" s="255">
        <f t="shared" si="0"/>
        <v>2058</v>
      </c>
      <c r="C53" s="261">
        <f>$C$6*$C$7*Resiliency_Traffic_related_data!D84*Resiliency_Traffic_related_data!W93</f>
        <v>201776.32065571871</v>
      </c>
      <c r="D53" s="262">
        <f t="shared" si="1"/>
        <v>0</v>
      </c>
      <c r="E53" s="261">
        <f>$C$6*$C$7*Resiliency_Traffic_related_data!E84*Resiliency_Traffic_related_data!X93</f>
        <v>11308.818359612027</v>
      </c>
      <c r="F53" s="262">
        <f t="shared" si="2"/>
        <v>0</v>
      </c>
      <c r="G53" s="262">
        <f t="shared" si="3"/>
        <v>0</v>
      </c>
      <c r="H53" s="258">
        <f t="shared" si="4"/>
        <v>0</v>
      </c>
      <c r="I53" s="259">
        <f t="shared" si="4"/>
        <v>0</v>
      </c>
    </row>
    <row r="54" spans="1:9">
      <c r="A54" s="511">
        <f>IF((B54&gt;(Inputs!$B$7+Inputs!$B$8)),0,IF((B54&lt;Inputs!$B$7),0,((B54-Inputs!$B$7))))</f>
        <v>0</v>
      </c>
      <c r="B54" s="255">
        <f t="shared" si="0"/>
        <v>2059</v>
      </c>
      <c r="C54" s="261">
        <f>$C$6*$C$7*Resiliency_Traffic_related_data!D85*Resiliency_Traffic_related_data!W94</f>
        <v>201776.32065571871</v>
      </c>
      <c r="D54" s="262">
        <f t="shared" si="1"/>
        <v>0</v>
      </c>
      <c r="E54" s="261">
        <f>$C$6*$C$7*Resiliency_Traffic_related_data!E85*Resiliency_Traffic_related_data!X94</f>
        <v>11308.818359612027</v>
      </c>
      <c r="F54" s="262">
        <f t="shared" si="2"/>
        <v>0</v>
      </c>
      <c r="G54" s="262">
        <f t="shared" si="3"/>
        <v>0</v>
      </c>
      <c r="H54" s="258">
        <f t="shared" si="4"/>
        <v>0</v>
      </c>
      <c r="I54" s="259">
        <f t="shared" si="4"/>
        <v>0</v>
      </c>
    </row>
    <row r="55" spans="1:9" ht="15.75" thickBot="1">
      <c r="A55" s="511">
        <f>IF((B55&gt;(Inputs!$B$7+Inputs!$B$8)),0,IF((B55&lt;Inputs!$B$7),0,((B55-Inputs!$B$7))))</f>
        <v>0</v>
      </c>
      <c r="B55" s="255">
        <f t="shared" si="0"/>
        <v>2060</v>
      </c>
      <c r="C55" s="267">
        <f>$C$6*$C$7*Resiliency_Traffic_related_data!D86*Resiliency_Traffic_related_data!W95</f>
        <v>201776.32065571871</v>
      </c>
      <c r="D55" s="268">
        <f t="shared" si="1"/>
        <v>0</v>
      </c>
      <c r="E55" s="267">
        <f>$C$6*$C$7*Resiliency_Traffic_related_data!E86*Resiliency_Traffic_related_data!X95</f>
        <v>11308.818359612027</v>
      </c>
      <c r="F55" s="268">
        <f t="shared" si="2"/>
        <v>0</v>
      </c>
      <c r="G55" s="268">
        <f t="shared" si="3"/>
        <v>0</v>
      </c>
      <c r="H55" s="269">
        <f t="shared" si="4"/>
        <v>0</v>
      </c>
      <c r="I55" s="270">
        <f t="shared" si="4"/>
        <v>0</v>
      </c>
    </row>
    <row r="57" spans="1:9">
      <c r="H57" s="135">
        <f>SUM(H18:H55)</f>
        <v>24769529</v>
      </c>
      <c r="I57" s="135">
        <f>SUM(I18:I55)</f>
        <v>52158593</v>
      </c>
    </row>
  </sheetData>
  <mergeCells count="2">
    <mergeCell ref="C11:D11"/>
    <mergeCell ref="E11:F11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53DE4-FA8E-4219-99B5-8DAED425C5D3}">
  <sheetPr>
    <tabColor theme="6" tint="0.79998168889431442"/>
  </sheetPr>
  <dimension ref="A1:AX95"/>
  <sheetViews>
    <sheetView zoomScale="85" zoomScaleNormal="85" workbookViewId="0"/>
  </sheetViews>
  <sheetFormatPr defaultColWidth="9.140625" defaultRowHeight="15"/>
  <cols>
    <col min="1" max="1" width="14.5703125" style="64" customWidth="1"/>
    <col min="2" max="2" width="18.28515625" style="64" bestFit="1" customWidth="1"/>
    <col min="3" max="3" width="19.85546875" style="64" customWidth="1"/>
    <col min="4" max="4" width="12.5703125" style="64" customWidth="1"/>
    <col min="5" max="5" width="18.7109375" style="64" customWidth="1"/>
    <col min="6" max="6" width="17.42578125" style="64" customWidth="1"/>
    <col min="7" max="7" width="13.28515625" style="64" customWidth="1"/>
    <col min="8" max="8" width="14.42578125" style="64" customWidth="1"/>
    <col min="9" max="9" width="14.28515625" style="64" customWidth="1"/>
    <col min="10" max="11" width="9.140625" style="64"/>
    <col min="12" max="12" width="9.7109375" style="64" bestFit="1" customWidth="1"/>
    <col min="13" max="13" width="10.28515625" style="64" bestFit="1" customWidth="1"/>
    <col min="14" max="15" width="9.28515625" style="64" bestFit="1" customWidth="1"/>
    <col min="16" max="28" width="9.140625" style="64"/>
    <col min="29" max="29" width="12.5703125" style="64" customWidth="1"/>
    <col min="30" max="30" width="13" style="64" bestFit="1" customWidth="1"/>
    <col min="31" max="32" width="13" style="64" customWidth="1"/>
    <col min="33" max="34" width="14.85546875" style="64" bestFit="1" customWidth="1"/>
    <col min="35" max="16384" width="9.140625" style="64"/>
  </cols>
  <sheetData>
    <row r="1" spans="1:50" ht="15.75" thickBot="1">
      <c r="A1" s="205"/>
    </row>
    <row r="2" spans="1:50" ht="15.75" customHeight="1" thickTop="1" thickBot="1">
      <c r="A2" s="655" t="s">
        <v>301</v>
      </c>
      <c r="B2" s="656"/>
      <c r="C2" s="656"/>
      <c r="D2" s="657"/>
      <c r="E2" s="649" t="s">
        <v>334</v>
      </c>
      <c r="F2" s="649" t="s">
        <v>335</v>
      </c>
      <c r="G2" s="649" t="s">
        <v>332</v>
      </c>
      <c r="H2" s="649" t="s">
        <v>333</v>
      </c>
      <c r="I2" s="649" t="s">
        <v>336</v>
      </c>
      <c r="K2" s="652" t="s">
        <v>0</v>
      </c>
      <c r="L2" s="635" t="s">
        <v>343</v>
      </c>
      <c r="M2" s="636"/>
      <c r="N2" s="636"/>
      <c r="O2" s="636"/>
      <c r="P2" s="637"/>
      <c r="Q2" s="637"/>
      <c r="R2" s="637"/>
      <c r="S2" s="638"/>
      <c r="T2" s="635" t="s">
        <v>485</v>
      </c>
      <c r="U2" s="636"/>
      <c r="V2" s="636"/>
      <c r="W2" s="636"/>
      <c r="X2" s="637"/>
      <c r="Y2" s="637"/>
      <c r="Z2" s="637"/>
      <c r="AA2" s="638"/>
      <c r="AV2" s="678" t="s">
        <v>679</v>
      </c>
      <c r="AW2" s="679"/>
      <c r="AX2" s="467" t="s">
        <v>680</v>
      </c>
    </row>
    <row r="3" spans="1:50" ht="15.75" thickBot="1">
      <c r="A3" s="655"/>
      <c r="B3" s="656"/>
      <c r="C3" s="656"/>
      <c r="D3" s="657"/>
      <c r="E3" s="650"/>
      <c r="F3" s="650"/>
      <c r="G3" s="650"/>
      <c r="H3" s="650"/>
      <c r="I3" s="650"/>
      <c r="K3" s="653"/>
      <c r="L3" s="639" t="s">
        <v>235</v>
      </c>
      <c r="M3" s="640"/>
      <c r="N3" s="640"/>
      <c r="O3" s="641"/>
      <c r="P3" s="635" t="s">
        <v>237</v>
      </c>
      <c r="Q3" s="636"/>
      <c r="R3" s="636"/>
      <c r="S3" s="642"/>
      <c r="T3" s="639" t="s">
        <v>235</v>
      </c>
      <c r="U3" s="640"/>
      <c r="V3" s="640"/>
      <c r="W3" s="641"/>
      <c r="X3" s="635" t="s">
        <v>237</v>
      </c>
      <c r="Y3" s="636"/>
      <c r="Z3" s="636"/>
      <c r="AA3" s="642"/>
      <c r="AV3" s="680" t="s">
        <v>681</v>
      </c>
      <c r="AW3" s="680"/>
      <c r="AX3" s="466" t="s">
        <v>682</v>
      </c>
    </row>
    <row r="4" spans="1:50" ht="15" customHeight="1" thickBot="1">
      <c r="A4" s="655"/>
      <c r="B4" s="656"/>
      <c r="C4" s="656"/>
      <c r="D4" s="657"/>
      <c r="E4" s="651"/>
      <c r="F4" s="651"/>
      <c r="G4" s="651"/>
      <c r="H4" s="651"/>
      <c r="I4" s="651"/>
      <c r="K4" s="654"/>
      <c r="L4" s="144" t="s">
        <v>344</v>
      </c>
      <c r="M4" s="145" t="s">
        <v>341</v>
      </c>
      <c r="N4" s="145" t="s">
        <v>340</v>
      </c>
      <c r="O4" s="152" t="s">
        <v>342</v>
      </c>
      <c r="P4" s="144" t="s">
        <v>344</v>
      </c>
      <c r="Q4" s="145" t="s">
        <v>341</v>
      </c>
      <c r="R4" s="145" t="s">
        <v>340</v>
      </c>
      <c r="S4" s="146" t="s">
        <v>342</v>
      </c>
      <c r="T4" s="144" t="s">
        <v>344</v>
      </c>
      <c r="U4" s="145" t="s">
        <v>341</v>
      </c>
      <c r="V4" s="145" t="s">
        <v>340</v>
      </c>
      <c r="W4" s="152" t="s">
        <v>342</v>
      </c>
      <c r="X4" s="144" t="s">
        <v>344</v>
      </c>
      <c r="Y4" s="145" t="s">
        <v>341</v>
      </c>
      <c r="Z4" s="145" t="s">
        <v>340</v>
      </c>
      <c r="AA4" s="146" t="s">
        <v>342</v>
      </c>
      <c r="AV4" s="681">
        <v>8600030</v>
      </c>
      <c r="AW4" s="682"/>
      <c r="AX4" s="468">
        <v>1.2442124375890318E-2</v>
      </c>
    </row>
    <row r="5" spans="1:50" ht="15" customHeight="1" thickTop="1">
      <c r="A5" s="646" t="s">
        <v>302</v>
      </c>
      <c r="B5" s="647"/>
      <c r="C5" s="647"/>
      <c r="D5" s="648"/>
      <c r="E5" s="226">
        <v>5600</v>
      </c>
      <c r="F5" s="226">
        <v>7400</v>
      </c>
      <c r="G5" s="227">
        <v>0.05</v>
      </c>
      <c r="H5" s="226">
        <f>ROUND((E5*G5),0)</f>
        <v>280</v>
      </c>
      <c r="I5" s="226">
        <f>ROUND((F5*G5),0)</f>
        <v>370</v>
      </c>
      <c r="K5" s="155">
        <v>2019</v>
      </c>
      <c r="L5" s="379"/>
      <c r="M5" s="380"/>
      <c r="N5" s="380"/>
      <c r="O5" s="381"/>
      <c r="P5" s="379"/>
      <c r="Q5" s="380"/>
      <c r="R5" s="380"/>
      <c r="S5" s="382"/>
      <c r="T5" s="379"/>
      <c r="U5" s="383"/>
      <c r="V5" s="380"/>
      <c r="W5" s="384"/>
      <c r="X5" s="379"/>
      <c r="Y5" s="383"/>
      <c r="Z5" s="383"/>
      <c r="AA5" s="385"/>
      <c r="AB5" s="16"/>
      <c r="AV5" s="683">
        <v>8600029</v>
      </c>
      <c r="AW5" s="684"/>
      <c r="AX5" s="515">
        <v>1.4640206383740528E-2</v>
      </c>
    </row>
    <row r="6" spans="1:50" ht="15" customHeight="1" thickBot="1">
      <c r="A6" s="643" t="s">
        <v>303</v>
      </c>
      <c r="B6" s="644"/>
      <c r="C6" s="644"/>
      <c r="D6" s="645"/>
      <c r="E6" s="228">
        <f>4400+AH23</f>
        <v>8450</v>
      </c>
      <c r="F6" s="228">
        <f>5700+AH24</f>
        <v>11450</v>
      </c>
      <c r="G6" s="229">
        <v>0.08</v>
      </c>
      <c r="H6" s="228">
        <f t="shared" ref="H6:H31" si="0">ROUND((E6*G6),0)</f>
        <v>676</v>
      </c>
      <c r="I6" s="228">
        <f t="shared" ref="I6:I30" si="1">ROUND((F6*G6),0)</f>
        <v>916</v>
      </c>
      <c r="K6" s="160">
        <v>2020</v>
      </c>
      <c r="L6" s="504">
        <v>28578</v>
      </c>
      <c r="M6" s="505">
        <v>159840</v>
      </c>
      <c r="N6" s="505">
        <v>5492.9</v>
      </c>
      <c r="O6" s="506">
        <v>2763.4</v>
      </c>
      <c r="P6" s="504">
        <v>2044</v>
      </c>
      <c r="Q6" s="505">
        <v>15401.6</v>
      </c>
      <c r="R6" s="505">
        <v>550.5</v>
      </c>
      <c r="S6" s="507">
        <v>290.5</v>
      </c>
      <c r="T6" s="504">
        <v>28597</v>
      </c>
      <c r="U6" s="508">
        <v>159884.9</v>
      </c>
      <c r="V6" s="508">
        <v>4556.7</v>
      </c>
      <c r="W6" s="509">
        <v>1826.4</v>
      </c>
      <c r="X6" s="504">
        <v>2033</v>
      </c>
      <c r="Y6" s="508">
        <v>15315.5</v>
      </c>
      <c r="Z6" s="508">
        <v>469.7</v>
      </c>
      <c r="AA6" s="510">
        <v>211</v>
      </c>
      <c r="AB6" s="16"/>
      <c r="AF6" s="675" t="s">
        <v>475</v>
      </c>
      <c r="AG6" s="675"/>
      <c r="AP6" s="675" t="s">
        <v>810</v>
      </c>
      <c r="AQ6" s="675"/>
      <c r="AV6" s="690" t="s">
        <v>683</v>
      </c>
      <c r="AW6" s="691"/>
      <c r="AX6" s="470">
        <f>AVERAGEA(AX4:AX5)</f>
        <v>1.3541165379815423E-2</v>
      </c>
    </row>
    <row r="7" spans="1:50" ht="15" customHeight="1">
      <c r="A7" s="646" t="s">
        <v>304</v>
      </c>
      <c r="B7" s="647"/>
      <c r="C7" s="647"/>
      <c r="D7" s="648"/>
      <c r="E7" s="230">
        <v>1300</v>
      </c>
      <c r="F7" s="230">
        <v>1700</v>
      </c>
      <c r="G7" s="231">
        <v>0.09</v>
      </c>
      <c r="H7" s="230">
        <f t="shared" si="0"/>
        <v>117</v>
      </c>
      <c r="I7" s="230">
        <f t="shared" si="1"/>
        <v>153</v>
      </c>
      <c r="K7" s="500">
        <f>K6+1</f>
        <v>2021</v>
      </c>
      <c r="L7" s="499">
        <f t="shared" ref="L7:AA7" si="2">(((L$31-L$6)/25)*($K7-$K$6))+L$6</f>
        <v>28955.919999999998</v>
      </c>
      <c r="M7" s="499">
        <f t="shared" si="2"/>
        <v>161840.34</v>
      </c>
      <c r="N7" s="499">
        <f t="shared" si="2"/>
        <v>6035.3879999999999</v>
      </c>
      <c r="O7" s="389">
        <f t="shared" si="2"/>
        <v>3271.5039999999999</v>
      </c>
      <c r="P7" s="499">
        <f t="shared" si="2"/>
        <v>2068</v>
      </c>
      <c r="Q7" s="501">
        <f t="shared" si="2"/>
        <v>15601.175999999999</v>
      </c>
      <c r="R7" s="501">
        <f t="shared" si="2"/>
        <v>605.33199999999999</v>
      </c>
      <c r="S7" s="502">
        <f t="shared" si="2"/>
        <v>341.976</v>
      </c>
      <c r="T7" s="499">
        <f t="shared" si="2"/>
        <v>28991.08</v>
      </c>
      <c r="U7" s="501">
        <f t="shared" si="2"/>
        <v>162189.788</v>
      </c>
      <c r="V7" s="501">
        <f t="shared" si="2"/>
        <v>4957.82</v>
      </c>
      <c r="W7" s="503">
        <f t="shared" si="2"/>
        <v>2188.2080000000001</v>
      </c>
      <c r="X7" s="499">
        <f t="shared" si="2"/>
        <v>2058.8000000000002</v>
      </c>
      <c r="Y7" s="501">
        <f t="shared" si="2"/>
        <v>15550.611999999999</v>
      </c>
      <c r="Z7" s="501">
        <f t="shared" si="2"/>
        <v>507.404</v>
      </c>
      <c r="AA7" s="502">
        <f t="shared" si="2"/>
        <v>244.768</v>
      </c>
      <c r="AG7" s="516"/>
      <c r="AQ7" s="516"/>
    </row>
    <row r="8" spans="1:50" ht="15" customHeight="1">
      <c r="A8" s="643" t="s">
        <v>326</v>
      </c>
      <c r="B8" s="644"/>
      <c r="C8" s="644"/>
      <c r="D8" s="645"/>
      <c r="E8" s="228">
        <v>5700</v>
      </c>
      <c r="F8" s="228">
        <v>7600</v>
      </c>
      <c r="G8" s="229">
        <v>0.05</v>
      </c>
      <c r="H8" s="228">
        <f t="shared" si="0"/>
        <v>285</v>
      </c>
      <c r="I8" s="228">
        <f t="shared" si="1"/>
        <v>380</v>
      </c>
      <c r="K8" s="500">
        <f>K7+1</f>
        <v>2022</v>
      </c>
      <c r="L8" s="499">
        <f t="shared" ref="L8:AA29" si="3">(((L$31-L$6)/25)*($K8-$K$6))+L$6</f>
        <v>29333.84</v>
      </c>
      <c r="M8" s="499">
        <f t="shared" si="3"/>
        <v>163840.68</v>
      </c>
      <c r="N8" s="499">
        <f t="shared" si="3"/>
        <v>6577.8759999999993</v>
      </c>
      <c r="O8" s="389">
        <f t="shared" si="3"/>
        <v>3779.6080000000002</v>
      </c>
      <c r="P8" s="499">
        <f t="shared" si="3"/>
        <v>2092</v>
      </c>
      <c r="Q8" s="501">
        <f t="shared" si="3"/>
        <v>15800.752</v>
      </c>
      <c r="R8" s="501">
        <f t="shared" si="3"/>
        <v>660.16399999999999</v>
      </c>
      <c r="S8" s="502">
        <f t="shared" si="3"/>
        <v>393.452</v>
      </c>
      <c r="T8" s="499">
        <f t="shared" si="3"/>
        <v>29385.16</v>
      </c>
      <c r="U8" s="501">
        <f t="shared" si="3"/>
        <v>164494.67600000001</v>
      </c>
      <c r="V8" s="501">
        <f t="shared" si="3"/>
        <v>5358.94</v>
      </c>
      <c r="W8" s="503">
        <f t="shared" si="3"/>
        <v>2550.0160000000001</v>
      </c>
      <c r="X8" s="499">
        <f t="shared" si="3"/>
        <v>2084.6</v>
      </c>
      <c r="Y8" s="501">
        <f t="shared" si="3"/>
        <v>15785.724</v>
      </c>
      <c r="Z8" s="501">
        <f t="shared" si="3"/>
        <v>545.10799999999995</v>
      </c>
      <c r="AA8" s="502">
        <f t="shared" si="3"/>
        <v>278.536</v>
      </c>
      <c r="AG8" s="516">
        <f>'[18]50'!DH30</f>
        <v>0</v>
      </c>
      <c r="AQ8" s="516">
        <f>'[18]51'!DH30</f>
        <v>0</v>
      </c>
    </row>
    <row r="9" spans="1:50" ht="15" customHeight="1">
      <c r="A9" s="646" t="s">
        <v>305</v>
      </c>
      <c r="B9" s="647"/>
      <c r="C9" s="647"/>
      <c r="D9" s="648"/>
      <c r="E9" s="230">
        <v>4500</v>
      </c>
      <c r="F9" s="230">
        <v>6000</v>
      </c>
      <c r="G9" s="231">
        <v>0.04</v>
      </c>
      <c r="H9" s="230">
        <f t="shared" si="0"/>
        <v>180</v>
      </c>
      <c r="I9" s="230">
        <f t="shared" si="1"/>
        <v>240</v>
      </c>
      <c r="K9" s="500">
        <f t="shared" ref="K9:K10" si="4">K8+1</f>
        <v>2023</v>
      </c>
      <c r="L9" s="499">
        <f t="shared" si="3"/>
        <v>29711.759999999998</v>
      </c>
      <c r="M9" s="499">
        <f t="shared" si="3"/>
        <v>165841.01999999999</v>
      </c>
      <c r="N9" s="499">
        <f t="shared" si="3"/>
        <v>7120.3639999999996</v>
      </c>
      <c r="O9" s="389">
        <f t="shared" si="3"/>
        <v>4287.7120000000004</v>
      </c>
      <c r="P9" s="499">
        <f t="shared" si="3"/>
        <v>2116</v>
      </c>
      <c r="Q9" s="501">
        <f t="shared" si="3"/>
        <v>16000.328</v>
      </c>
      <c r="R9" s="501">
        <f t="shared" si="3"/>
        <v>714.99599999999998</v>
      </c>
      <c r="S9" s="502">
        <f t="shared" si="3"/>
        <v>444.928</v>
      </c>
      <c r="T9" s="499">
        <f t="shared" si="3"/>
        <v>29779.24</v>
      </c>
      <c r="U9" s="501">
        <f t="shared" si="3"/>
        <v>166799.56399999998</v>
      </c>
      <c r="V9" s="501">
        <f t="shared" si="3"/>
        <v>5760.0599999999995</v>
      </c>
      <c r="W9" s="503">
        <f t="shared" si="3"/>
        <v>2911.8240000000005</v>
      </c>
      <c r="X9" s="499">
        <f t="shared" si="3"/>
        <v>2110.4</v>
      </c>
      <c r="Y9" s="501">
        <f t="shared" si="3"/>
        <v>16020.835999999999</v>
      </c>
      <c r="Z9" s="501">
        <f t="shared" si="3"/>
        <v>582.81200000000001</v>
      </c>
      <c r="AA9" s="502">
        <f t="shared" si="3"/>
        <v>312.30399999999997</v>
      </c>
      <c r="AG9" s="516"/>
      <c r="AQ9" s="516"/>
    </row>
    <row r="10" spans="1:50" ht="15" customHeight="1">
      <c r="A10" s="643" t="s">
        <v>306</v>
      </c>
      <c r="B10" s="644"/>
      <c r="C10" s="644"/>
      <c r="D10" s="645"/>
      <c r="E10" s="228">
        <v>100</v>
      </c>
      <c r="F10" s="228">
        <v>200</v>
      </c>
      <c r="G10" s="229">
        <v>0.03</v>
      </c>
      <c r="H10" s="228">
        <f t="shared" si="0"/>
        <v>3</v>
      </c>
      <c r="I10" s="228">
        <f t="shared" si="1"/>
        <v>6</v>
      </c>
      <c r="K10" s="500">
        <f t="shared" si="4"/>
        <v>2024</v>
      </c>
      <c r="L10" s="499">
        <f t="shared" si="3"/>
        <v>30089.68</v>
      </c>
      <c r="M10" s="499">
        <f t="shared" si="3"/>
        <v>167841.36</v>
      </c>
      <c r="N10" s="499">
        <f t="shared" si="3"/>
        <v>7662.851999999999</v>
      </c>
      <c r="O10" s="389">
        <f t="shared" si="3"/>
        <v>4795.8160000000007</v>
      </c>
      <c r="P10" s="499">
        <f t="shared" si="3"/>
        <v>2140</v>
      </c>
      <c r="Q10" s="501">
        <f t="shared" si="3"/>
        <v>16199.904</v>
      </c>
      <c r="R10" s="501">
        <f t="shared" si="3"/>
        <v>769.82799999999997</v>
      </c>
      <c r="S10" s="502">
        <f t="shared" si="3"/>
        <v>496.404</v>
      </c>
      <c r="T10" s="499">
        <f t="shared" si="3"/>
        <v>30173.32</v>
      </c>
      <c r="U10" s="501">
        <f t="shared" si="3"/>
        <v>169104.45199999999</v>
      </c>
      <c r="V10" s="501">
        <f t="shared" si="3"/>
        <v>6161.18</v>
      </c>
      <c r="W10" s="503">
        <f t="shared" si="3"/>
        <v>3273.6320000000005</v>
      </c>
      <c r="X10" s="499">
        <f t="shared" si="3"/>
        <v>2136.1999999999998</v>
      </c>
      <c r="Y10" s="501">
        <f t="shared" si="3"/>
        <v>16255.948</v>
      </c>
      <c r="Z10" s="501">
        <f t="shared" si="3"/>
        <v>620.51599999999996</v>
      </c>
      <c r="AA10" s="502">
        <f t="shared" si="3"/>
        <v>346.072</v>
      </c>
      <c r="AG10" s="516"/>
      <c r="AQ10" s="516"/>
    </row>
    <row r="11" spans="1:50" ht="15" customHeight="1">
      <c r="A11" s="646" t="s">
        <v>307</v>
      </c>
      <c r="B11" s="647"/>
      <c r="C11" s="647"/>
      <c r="D11" s="648"/>
      <c r="E11" s="230">
        <v>1600</v>
      </c>
      <c r="F11" s="230">
        <v>2100</v>
      </c>
      <c r="G11" s="231">
        <v>0.08</v>
      </c>
      <c r="H11" s="230">
        <f t="shared" si="0"/>
        <v>128</v>
      </c>
      <c r="I11" s="230">
        <f t="shared" si="1"/>
        <v>168</v>
      </c>
      <c r="K11" s="500">
        <v>2025</v>
      </c>
      <c r="L11" s="499">
        <f t="shared" si="3"/>
        <v>30467.599999999999</v>
      </c>
      <c r="M11" s="499">
        <f t="shared" si="3"/>
        <v>169841.7</v>
      </c>
      <c r="N11" s="499">
        <f t="shared" si="3"/>
        <v>8205.34</v>
      </c>
      <c r="O11" s="389">
        <f t="shared" si="3"/>
        <v>5303.92</v>
      </c>
      <c r="P11" s="499">
        <f t="shared" si="3"/>
        <v>2164</v>
      </c>
      <c r="Q11" s="501">
        <f t="shared" si="3"/>
        <v>16399.48</v>
      </c>
      <c r="R11" s="501">
        <f t="shared" si="3"/>
        <v>824.66000000000008</v>
      </c>
      <c r="S11" s="502">
        <f t="shared" si="3"/>
        <v>547.88000000000011</v>
      </c>
      <c r="T11" s="499">
        <f t="shared" si="3"/>
        <v>30567.4</v>
      </c>
      <c r="U11" s="501">
        <f t="shared" si="3"/>
        <v>171409.34</v>
      </c>
      <c r="V11" s="501">
        <f t="shared" si="3"/>
        <v>6562.2999999999993</v>
      </c>
      <c r="W11" s="503">
        <f t="shared" si="3"/>
        <v>3635.4400000000005</v>
      </c>
      <c r="X11" s="499">
        <f t="shared" si="3"/>
        <v>2162</v>
      </c>
      <c r="Y11" s="501">
        <f t="shared" si="3"/>
        <v>16491.060000000001</v>
      </c>
      <c r="Z11" s="501">
        <f t="shared" si="3"/>
        <v>658.22</v>
      </c>
      <c r="AA11" s="502">
        <f t="shared" si="3"/>
        <v>379.84000000000003</v>
      </c>
      <c r="AB11" s="16"/>
      <c r="AG11" s="516"/>
      <c r="AQ11" s="516"/>
    </row>
    <row r="12" spans="1:50" ht="15" customHeight="1" thickBot="1">
      <c r="A12" s="643" t="s">
        <v>327</v>
      </c>
      <c r="B12" s="644"/>
      <c r="C12" s="644"/>
      <c r="D12" s="645"/>
      <c r="E12" s="228">
        <v>1600</v>
      </c>
      <c r="F12" s="228">
        <v>2200</v>
      </c>
      <c r="G12" s="229">
        <v>0.05</v>
      </c>
      <c r="H12" s="228">
        <f t="shared" si="0"/>
        <v>80</v>
      </c>
      <c r="I12" s="228">
        <f t="shared" si="1"/>
        <v>110</v>
      </c>
      <c r="K12" s="500">
        <f>K11+1</f>
        <v>2026</v>
      </c>
      <c r="L12" s="499">
        <f t="shared" si="3"/>
        <v>30845.52</v>
      </c>
      <c r="M12" s="499">
        <f t="shared" si="3"/>
        <v>171842.04</v>
      </c>
      <c r="N12" s="499">
        <f t="shared" si="3"/>
        <v>8747.8279999999995</v>
      </c>
      <c r="O12" s="389">
        <f t="shared" si="3"/>
        <v>5812.0240000000003</v>
      </c>
      <c r="P12" s="499">
        <f t="shared" si="3"/>
        <v>2188</v>
      </c>
      <c r="Q12" s="501">
        <f t="shared" si="3"/>
        <v>16599.056</v>
      </c>
      <c r="R12" s="501">
        <f t="shared" si="3"/>
        <v>879.49199999999996</v>
      </c>
      <c r="S12" s="502">
        <f t="shared" si="3"/>
        <v>599.35599999999999</v>
      </c>
      <c r="T12" s="499">
        <f t="shared" si="3"/>
        <v>30961.48</v>
      </c>
      <c r="U12" s="501">
        <f t="shared" si="3"/>
        <v>173714.228</v>
      </c>
      <c r="V12" s="501">
        <f t="shared" si="3"/>
        <v>6963.42</v>
      </c>
      <c r="W12" s="503">
        <f t="shared" si="3"/>
        <v>3997.2480000000005</v>
      </c>
      <c r="X12" s="499">
        <f t="shared" si="3"/>
        <v>2187.8000000000002</v>
      </c>
      <c r="Y12" s="501">
        <f t="shared" si="3"/>
        <v>16726.171999999999</v>
      </c>
      <c r="Z12" s="501">
        <f t="shared" si="3"/>
        <v>695.92399999999998</v>
      </c>
      <c r="AA12" s="502">
        <f t="shared" si="3"/>
        <v>413.608</v>
      </c>
      <c r="AD12" s="697" t="s">
        <v>811</v>
      </c>
      <c r="AE12" s="517">
        <f>'[18]50'!DC35</f>
        <v>52.5</v>
      </c>
      <c r="AF12" s="517"/>
      <c r="AG12" s="518"/>
      <c r="AH12" s="517">
        <f>'[18]50'!DO35</f>
        <v>8</v>
      </c>
      <c r="AI12" s="517"/>
      <c r="AJ12" s="517"/>
      <c r="AK12" s="517"/>
      <c r="AL12" s="517"/>
      <c r="AM12" s="517"/>
      <c r="AN12" s="517"/>
      <c r="AO12" s="517">
        <f>'[18]51'!DC35</f>
        <v>60.000000000000007</v>
      </c>
      <c r="AP12" s="517"/>
      <c r="AQ12" s="518"/>
      <c r="AR12" s="517">
        <f>'[18]51'!DO35</f>
        <v>8.5</v>
      </c>
      <c r="AS12" s="697" t="s">
        <v>811</v>
      </c>
    </row>
    <row r="13" spans="1:50" ht="15" customHeight="1" thickTop="1">
      <c r="A13" s="646" t="s">
        <v>308</v>
      </c>
      <c r="B13" s="647"/>
      <c r="C13" s="647"/>
      <c r="D13" s="648"/>
      <c r="E13" s="230">
        <v>200</v>
      </c>
      <c r="F13" s="230">
        <v>300</v>
      </c>
      <c r="G13" s="231">
        <v>0.06</v>
      </c>
      <c r="H13" s="230">
        <f t="shared" si="0"/>
        <v>12</v>
      </c>
      <c r="I13" s="230">
        <f t="shared" si="1"/>
        <v>18</v>
      </c>
      <c r="K13" s="500">
        <f>K12+1</f>
        <v>2027</v>
      </c>
      <c r="L13" s="499">
        <f t="shared" si="3"/>
        <v>31223.439999999999</v>
      </c>
      <c r="M13" s="499">
        <f t="shared" si="3"/>
        <v>173842.38</v>
      </c>
      <c r="N13" s="499">
        <f t="shared" si="3"/>
        <v>9290.3159999999989</v>
      </c>
      <c r="O13" s="389">
        <f t="shared" si="3"/>
        <v>6320.1280000000006</v>
      </c>
      <c r="P13" s="499">
        <f t="shared" si="3"/>
        <v>2212</v>
      </c>
      <c r="Q13" s="501">
        <f t="shared" si="3"/>
        <v>16798.632000000001</v>
      </c>
      <c r="R13" s="501">
        <f t="shared" si="3"/>
        <v>934.32400000000007</v>
      </c>
      <c r="S13" s="502">
        <f t="shared" si="3"/>
        <v>650.83200000000011</v>
      </c>
      <c r="T13" s="499">
        <f t="shared" si="3"/>
        <v>31355.56</v>
      </c>
      <c r="U13" s="501">
        <f t="shared" si="3"/>
        <v>176019.11600000001</v>
      </c>
      <c r="V13" s="501">
        <f t="shared" si="3"/>
        <v>7364.54</v>
      </c>
      <c r="W13" s="503">
        <f t="shared" si="3"/>
        <v>4359.0560000000005</v>
      </c>
      <c r="X13" s="499">
        <f t="shared" si="3"/>
        <v>2213.6</v>
      </c>
      <c r="Y13" s="501">
        <f t="shared" si="3"/>
        <v>16961.284</v>
      </c>
      <c r="Z13" s="501">
        <f t="shared" si="3"/>
        <v>733.62799999999993</v>
      </c>
      <c r="AA13" s="502">
        <f t="shared" si="3"/>
        <v>447.37599999999998</v>
      </c>
      <c r="AD13" s="697"/>
      <c r="AS13" s="697"/>
    </row>
    <row r="14" spans="1:50" ht="15" customHeight="1">
      <c r="A14" s="643" t="s">
        <v>309</v>
      </c>
      <c r="B14" s="644"/>
      <c r="C14" s="644"/>
      <c r="D14" s="645"/>
      <c r="E14" s="228">
        <v>1500</v>
      </c>
      <c r="F14" s="228">
        <v>2000</v>
      </c>
      <c r="G14" s="229">
        <v>0.03</v>
      </c>
      <c r="H14" s="228">
        <f t="shared" si="0"/>
        <v>45</v>
      </c>
      <c r="I14" s="228">
        <f t="shared" si="1"/>
        <v>60</v>
      </c>
      <c r="K14" s="500">
        <f t="shared" ref="K14:K15" si="5">K13+1</f>
        <v>2028</v>
      </c>
      <c r="L14" s="499">
        <f t="shared" si="3"/>
        <v>31601.360000000001</v>
      </c>
      <c r="M14" s="499">
        <f t="shared" si="3"/>
        <v>175842.72</v>
      </c>
      <c r="N14" s="499">
        <f t="shared" si="3"/>
        <v>9832.8040000000001</v>
      </c>
      <c r="O14" s="389">
        <f t="shared" si="3"/>
        <v>6828.232</v>
      </c>
      <c r="P14" s="499">
        <f t="shared" si="3"/>
        <v>2236</v>
      </c>
      <c r="Q14" s="501">
        <f t="shared" si="3"/>
        <v>16998.207999999999</v>
      </c>
      <c r="R14" s="501">
        <f t="shared" si="3"/>
        <v>989.15599999999995</v>
      </c>
      <c r="S14" s="502">
        <f t="shared" si="3"/>
        <v>702.30799999999999</v>
      </c>
      <c r="T14" s="499">
        <f t="shared" si="3"/>
        <v>31749.64</v>
      </c>
      <c r="U14" s="501">
        <f t="shared" si="3"/>
        <v>178324.00399999999</v>
      </c>
      <c r="V14" s="501">
        <f t="shared" si="3"/>
        <v>7765.66</v>
      </c>
      <c r="W14" s="503">
        <f t="shared" si="3"/>
        <v>4720.8640000000005</v>
      </c>
      <c r="X14" s="499">
        <f t="shared" si="3"/>
        <v>2239.4</v>
      </c>
      <c r="Y14" s="501">
        <f t="shared" si="3"/>
        <v>17196.396000000001</v>
      </c>
      <c r="Z14" s="501">
        <f t="shared" si="3"/>
        <v>771.33199999999988</v>
      </c>
      <c r="AA14" s="502">
        <f t="shared" si="3"/>
        <v>481.14400000000001</v>
      </c>
    </row>
    <row r="15" spans="1:50" ht="15" customHeight="1">
      <c r="A15" s="646" t="s">
        <v>310</v>
      </c>
      <c r="B15" s="647"/>
      <c r="C15" s="647"/>
      <c r="D15" s="648"/>
      <c r="E15" s="230">
        <v>500</v>
      </c>
      <c r="F15" s="230">
        <v>700</v>
      </c>
      <c r="G15" s="231">
        <v>0.04</v>
      </c>
      <c r="H15" s="230">
        <f t="shared" si="0"/>
        <v>20</v>
      </c>
      <c r="I15" s="230">
        <f t="shared" si="1"/>
        <v>28</v>
      </c>
      <c r="K15" s="500">
        <f t="shared" si="5"/>
        <v>2029</v>
      </c>
      <c r="L15" s="499">
        <f t="shared" si="3"/>
        <v>31979.279999999999</v>
      </c>
      <c r="M15" s="499">
        <f t="shared" si="3"/>
        <v>177843.06</v>
      </c>
      <c r="N15" s="499">
        <f t="shared" si="3"/>
        <v>10375.291999999999</v>
      </c>
      <c r="O15" s="389">
        <f t="shared" si="3"/>
        <v>7336.3360000000011</v>
      </c>
      <c r="P15" s="499">
        <f t="shared" si="3"/>
        <v>2260</v>
      </c>
      <c r="Q15" s="501">
        <f t="shared" si="3"/>
        <v>17197.784</v>
      </c>
      <c r="R15" s="501">
        <f t="shared" si="3"/>
        <v>1043.9880000000001</v>
      </c>
      <c r="S15" s="502">
        <f t="shared" si="3"/>
        <v>753.78400000000011</v>
      </c>
      <c r="T15" s="499">
        <f t="shared" si="3"/>
        <v>32143.72</v>
      </c>
      <c r="U15" s="501">
        <f t="shared" si="3"/>
        <v>180628.89199999999</v>
      </c>
      <c r="V15" s="501">
        <f t="shared" si="3"/>
        <v>8166.78</v>
      </c>
      <c r="W15" s="503">
        <f t="shared" si="3"/>
        <v>5082.6720000000005</v>
      </c>
      <c r="X15" s="499">
        <f t="shared" si="3"/>
        <v>2265.1999999999998</v>
      </c>
      <c r="Y15" s="501">
        <f t="shared" si="3"/>
        <v>17431.508000000002</v>
      </c>
      <c r="Z15" s="501">
        <f t="shared" si="3"/>
        <v>809.03599999999994</v>
      </c>
      <c r="AA15" s="502">
        <f t="shared" si="3"/>
        <v>514.91200000000003</v>
      </c>
    </row>
    <row r="16" spans="1:50" ht="15" customHeight="1">
      <c r="A16" s="643" t="s">
        <v>311</v>
      </c>
      <c r="B16" s="644"/>
      <c r="C16" s="644"/>
      <c r="D16" s="645"/>
      <c r="E16" s="228">
        <v>200</v>
      </c>
      <c r="F16" s="228">
        <v>300</v>
      </c>
      <c r="G16" s="229">
        <v>0.05</v>
      </c>
      <c r="H16" s="228">
        <f t="shared" si="0"/>
        <v>10</v>
      </c>
      <c r="I16" s="228">
        <f t="shared" si="1"/>
        <v>15</v>
      </c>
      <c r="K16" s="500">
        <v>2030</v>
      </c>
      <c r="L16" s="499">
        <f t="shared" si="3"/>
        <v>32357.200000000001</v>
      </c>
      <c r="M16" s="499">
        <f t="shared" si="3"/>
        <v>179843.4</v>
      </c>
      <c r="N16" s="499">
        <f t="shared" si="3"/>
        <v>10917.779999999999</v>
      </c>
      <c r="O16" s="389">
        <f t="shared" si="3"/>
        <v>7844.4400000000005</v>
      </c>
      <c r="P16" s="499">
        <f t="shared" si="3"/>
        <v>2284</v>
      </c>
      <c r="Q16" s="501">
        <f t="shared" si="3"/>
        <v>17397.36</v>
      </c>
      <c r="R16" s="501">
        <f t="shared" si="3"/>
        <v>1098.8200000000002</v>
      </c>
      <c r="S16" s="502">
        <f t="shared" si="3"/>
        <v>805.2600000000001</v>
      </c>
      <c r="T16" s="499">
        <f t="shared" si="3"/>
        <v>32537.8</v>
      </c>
      <c r="U16" s="501">
        <f t="shared" si="3"/>
        <v>182933.78</v>
      </c>
      <c r="V16" s="501">
        <f t="shared" si="3"/>
        <v>8567.9</v>
      </c>
      <c r="W16" s="503">
        <f t="shared" si="3"/>
        <v>5444.4800000000005</v>
      </c>
      <c r="X16" s="499">
        <f t="shared" si="3"/>
        <v>2291</v>
      </c>
      <c r="Y16" s="501">
        <f t="shared" si="3"/>
        <v>17666.62</v>
      </c>
      <c r="Z16" s="501">
        <f t="shared" si="3"/>
        <v>846.74</v>
      </c>
      <c r="AA16" s="502">
        <f t="shared" si="3"/>
        <v>548.68000000000006</v>
      </c>
      <c r="AB16" s="16"/>
      <c r="AF16" s="64" t="s">
        <v>812</v>
      </c>
      <c r="AH16" s="64">
        <v>3000</v>
      </c>
      <c r="AI16" s="64" t="s">
        <v>813</v>
      </c>
    </row>
    <row r="17" spans="1:37" ht="15" customHeight="1">
      <c r="A17" s="646" t="s">
        <v>312</v>
      </c>
      <c r="B17" s="647"/>
      <c r="C17" s="647"/>
      <c r="D17" s="648"/>
      <c r="E17" s="230">
        <v>700</v>
      </c>
      <c r="F17" s="230">
        <v>900</v>
      </c>
      <c r="G17" s="231">
        <v>0.04</v>
      </c>
      <c r="H17" s="230">
        <f t="shared" si="0"/>
        <v>28</v>
      </c>
      <c r="I17" s="230">
        <f t="shared" si="1"/>
        <v>36</v>
      </c>
      <c r="K17" s="500">
        <f>K16+1</f>
        <v>2031</v>
      </c>
      <c r="L17" s="499">
        <f t="shared" si="3"/>
        <v>32735.119999999999</v>
      </c>
      <c r="M17" s="499">
        <f t="shared" si="3"/>
        <v>181843.74</v>
      </c>
      <c r="N17" s="499">
        <f t="shared" si="3"/>
        <v>11460.268</v>
      </c>
      <c r="O17" s="389">
        <f t="shared" si="3"/>
        <v>8352.5439999999999</v>
      </c>
      <c r="P17" s="499">
        <f t="shared" si="3"/>
        <v>2308</v>
      </c>
      <c r="Q17" s="501">
        <f t="shared" si="3"/>
        <v>17596.936000000002</v>
      </c>
      <c r="R17" s="501">
        <f t="shared" si="3"/>
        <v>1153.652</v>
      </c>
      <c r="S17" s="502">
        <f t="shared" si="3"/>
        <v>856.7360000000001</v>
      </c>
      <c r="T17" s="499">
        <f t="shared" si="3"/>
        <v>32931.879999999997</v>
      </c>
      <c r="U17" s="501">
        <f t="shared" si="3"/>
        <v>185238.66800000001</v>
      </c>
      <c r="V17" s="501">
        <f t="shared" si="3"/>
        <v>8969.02</v>
      </c>
      <c r="W17" s="503">
        <f t="shared" si="3"/>
        <v>5806.2880000000005</v>
      </c>
      <c r="X17" s="499">
        <f t="shared" si="3"/>
        <v>2316.8000000000002</v>
      </c>
      <c r="Y17" s="501">
        <f t="shared" si="3"/>
        <v>17901.732</v>
      </c>
      <c r="Z17" s="501">
        <f t="shared" si="3"/>
        <v>884.44399999999996</v>
      </c>
      <c r="AA17" s="502">
        <f t="shared" ref="AA17:AA30" si="6">(((AA$31-AA$6)/25)*($K17-$K$6))+AA$6</f>
        <v>582.44799999999998</v>
      </c>
      <c r="AF17" s="64" t="s">
        <v>814</v>
      </c>
      <c r="AH17" s="64">
        <v>700</v>
      </c>
    </row>
    <row r="18" spans="1:37" ht="15" customHeight="1">
      <c r="A18" s="643" t="s">
        <v>313</v>
      </c>
      <c r="B18" s="644"/>
      <c r="C18" s="644"/>
      <c r="D18" s="645"/>
      <c r="E18" s="228">
        <v>1800</v>
      </c>
      <c r="F18" s="228">
        <v>2300</v>
      </c>
      <c r="G18" s="229">
        <v>0.09</v>
      </c>
      <c r="H18" s="228">
        <f t="shared" si="0"/>
        <v>162</v>
      </c>
      <c r="I18" s="228">
        <f t="shared" si="1"/>
        <v>207</v>
      </c>
      <c r="K18" s="500">
        <f>K17+1</f>
        <v>2032</v>
      </c>
      <c r="L18" s="499">
        <f t="shared" si="3"/>
        <v>33113.040000000001</v>
      </c>
      <c r="M18" s="499">
        <f t="shared" si="3"/>
        <v>183844.08</v>
      </c>
      <c r="N18" s="499">
        <f t="shared" si="3"/>
        <v>12002.755999999999</v>
      </c>
      <c r="O18" s="389">
        <f t="shared" si="3"/>
        <v>8860.648000000001</v>
      </c>
      <c r="P18" s="499">
        <f t="shared" si="3"/>
        <v>2332</v>
      </c>
      <c r="Q18" s="501">
        <f t="shared" si="3"/>
        <v>17796.511999999999</v>
      </c>
      <c r="R18" s="501">
        <f t="shared" si="3"/>
        <v>1208.4839999999999</v>
      </c>
      <c r="S18" s="502">
        <f t="shared" si="3"/>
        <v>908.2120000000001</v>
      </c>
      <c r="T18" s="499">
        <f t="shared" ref="T18:Z30" si="7">(((T$31-T$6)/25)*($K18-$K$6))+T$6</f>
        <v>33325.96</v>
      </c>
      <c r="U18" s="501">
        <f t="shared" si="7"/>
        <v>187543.55599999998</v>
      </c>
      <c r="V18" s="501">
        <f t="shared" si="7"/>
        <v>9370.14</v>
      </c>
      <c r="W18" s="503">
        <f t="shared" si="7"/>
        <v>6168.0960000000014</v>
      </c>
      <c r="X18" s="499">
        <f t="shared" si="7"/>
        <v>2342.6</v>
      </c>
      <c r="Y18" s="501">
        <f t="shared" si="7"/>
        <v>18136.844000000001</v>
      </c>
      <c r="Z18" s="501">
        <f t="shared" si="7"/>
        <v>922.14799999999991</v>
      </c>
      <c r="AA18" s="502">
        <f t="shared" si="6"/>
        <v>616.21600000000001</v>
      </c>
      <c r="AF18" s="64" t="s">
        <v>815</v>
      </c>
      <c r="AH18" s="64">
        <v>1400</v>
      </c>
    </row>
    <row r="19" spans="1:37" ht="15" customHeight="1">
      <c r="A19" s="646" t="s">
        <v>314</v>
      </c>
      <c r="B19" s="647"/>
      <c r="C19" s="647"/>
      <c r="D19" s="648"/>
      <c r="E19" s="230">
        <v>700</v>
      </c>
      <c r="F19" s="230">
        <v>1000</v>
      </c>
      <c r="G19" s="231">
        <v>0.06</v>
      </c>
      <c r="H19" s="230">
        <f t="shared" si="0"/>
        <v>42</v>
      </c>
      <c r="I19" s="230">
        <f t="shared" si="1"/>
        <v>60</v>
      </c>
      <c r="K19" s="500">
        <f t="shared" ref="K19:K20" si="8">K18+1</f>
        <v>2033</v>
      </c>
      <c r="L19" s="499">
        <f t="shared" si="3"/>
        <v>33490.959999999999</v>
      </c>
      <c r="M19" s="499">
        <f t="shared" si="3"/>
        <v>185844.41999999998</v>
      </c>
      <c r="N19" s="499">
        <f t="shared" si="3"/>
        <v>12545.243999999999</v>
      </c>
      <c r="O19" s="389">
        <f t="shared" si="3"/>
        <v>9368.7520000000004</v>
      </c>
      <c r="P19" s="499">
        <f t="shared" si="3"/>
        <v>2356</v>
      </c>
      <c r="Q19" s="501">
        <f t="shared" si="3"/>
        <v>17996.088</v>
      </c>
      <c r="R19" s="501">
        <f t="shared" si="3"/>
        <v>1263.316</v>
      </c>
      <c r="S19" s="502">
        <f t="shared" si="3"/>
        <v>959.6880000000001</v>
      </c>
      <c r="T19" s="499">
        <f t="shared" si="7"/>
        <v>33720.04</v>
      </c>
      <c r="U19" s="501">
        <f t="shared" si="7"/>
        <v>189848.44399999999</v>
      </c>
      <c r="V19" s="501">
        <f t="shared" si="7"/>
        <v>9771.26</v>
      </c>
      <c r="W19" s="503">
        <f t="shared" si="7"/>
        <v>6529.9040000000005</v>
      </c>
      <c r="X19" s="499">
        <f t="shared" si="7"/>
        <v>2368.4</v>
      </c>
      <c r="Y19" s="501">
        <f t="shared" si="7"/>
        <v>18371.955999999998</v>
      </c>
      <c r="Z19" s="501">
        <f t="shared" si="7"/>
        <v>959.85199999999986</v>
      </c>
      <c r="AA19" s="502">
        <f t="shared" si="6"/>
        <v>649.98400000000004</v>
      </c>
      <c r="AF19" s="64" t="s">
        <v>816</v>
      </c>
    </row>
    <row r="20" spans="1:37" ht="15" customHeight="1">
      <c r="A20" s="643" t="s">
        <v>315</v>
      </c>
      <c r="B20" s="644"/>
      <c r="C20" s="644"/>
      <c r="D20" s="645"/>
      <c r="E20" s="228">
        <v>800</v>
      </c>
      <c r="F20" s="228">
        <v>1100</v>
      </c>
      <c r="G20" s="229">
        <v>0.03</v>
      </c>
      <c r="H20" s="228">
        <f t="shared" si="0"/>
        <v>24</v>
      </c>
      <c r="I20" s="228">
        <f t="shared" si="1"/>
        <v>33</v>
      </c>
      <c r="K20" s="500">
        <f t="shared" si="8"/>
        <v>2034</v>
      </c>
      <c r="L20" s="499">
        <f t="shared" si="3"/>
        <v>33868.879999999997</v>
      </c>
      <c r="M20" s="499">
        <f t="shared" si="3"/>
        <v>187844.76</v>
      </c>
      <c r="N20" s="499">
        <f t="shared" si="3"/>
        <v>13087.732</v>
      </c>
      <c r="O20" s="389">
        <f t="shared" si="3"/>
        <v>9876.8559999999998</v>
      </c>
      <c r="P20" s="499">
        <f t="shared" si="3"/>
        <v>2380</v>
      </c>
      <c r="Q20" s="501">
        <f t="shared" si="3"/>
        <v>18195.664000000001</v>
      </c>
      <c r="R20" s="501">
        <f t="shared" si="3"/>
        <v>1318.1480000000001</v>
      </c>
      <c r="S20" s="502">
        <f t="shared" si="3"/>
        <v>1011.1640000000001</v>
      </c>
      <c r="T20" s="499">
        <f t="shared" si="7"/>
        <v>34114.120000000003</v>
      </c>
      <c r="U20" s="501">
        <f t="shared" si="7"/>
        <v>192153.33199999999</v>
      </c>
      <c r="V20" s="501">
        <f t="shared" si="7"/>
        <v>10172.380000000001</v>
      </c>
      <c r="W20" s="503">
        <f t="shared" si="7"/>
        <v>6891.7120000000014</v>
      </c>
      <c r="X20" s="499">
        <f t="shared" si="7"/>
        <v>2394.1999999999998</v>
      </c>
      <c r="Y20" s="501">
        <f t="shared" si="7"/>
        <v>18607.067999999999</v>
      </c>
      <c r="Z20" s="501">
        <f t="shared" si="7"/>
        <v>997.55599999999981</v>
      </c>
      <c r="AA20" s="502">
        <f t="shared" si="6"/>
        <v>683.75199999999995</v>
      </c>
      <c r="AF20" s="64" t="s">
        <v>817</v>
      </c>
      <c r="AH20" s="64">
        <f>AH17+AH18</f>
        <v>2100</v>
      </c>
    </row>
    <row r="21" spans="1:37" ht="15" customHeight="1">
      <c r="A21" s="646" t="s">
        <v>316</v>
      </c>
      <c r="B21" s="647"/>
      <c r="C21" s="647"/>
      <c r="D21" s="648"/>
      <c r="E21" s="230">
        <v>1200</v>
      </c>
      <c r="F21" s="230">
        <v>1600</v>
      </c>
      <c r="G21" s="231">
        <v>0.04</v>
      </c>
      <c r="H21" s="230">
        <f t="shared" si="0"/>
        <v>48</v>
      </c>
      <c r="I21" s="230">
        <f t="shared" si="1"/>
        <v>64</v>
      </c>
      <c r="K21" s="500">
        <v>2035</v>
      </c>
      <c r="L21" s="499">
        <f t="shared" si="3"/>
        <v>34246.800000000003</v>
      </c>
      <c r="M21" s="499">
        <f t="shared" si="3"/>
        <v>189845.1</v>
      </c>
      <c r="N21" s="499">
        <f t="shared" si="3"/>
        <v>13630.219999999998</v>
      </c>
      <c r="O21" s="389">
        <f t="shared" si="3"/>
        <v>10384.960000000001</v>
      </c>
      <c r="P21" s="499">
        <f t="shared" si="3"/>
        <v>2404</v>
      </c>
      <c r="Q21" s="501">
        <f t="shared" si="3"/>
        <v>18395.240000000002</v>
      </c>
      <c r="R21" s="501">
        <f t="shared" si="3"/>
        <v>1372.98</v>
      </c>
      <c r="S21" s="502">
        <f t="shared" si="3"/>
        <v>1062.6400000000001</v>
      </c>
      <c r="T21" s="499">
        <f t="shared" si="7"/>
        <v>34508.199999999997</v>
      </c>
      <c r="U21" s="501">
        <f t="shared" si="7"/>
        <v>194458.22</v>
      </c>
      <c r="V21" s="501">
        <f t="shared" si="7"/>
        <v>10573.5</v>
      </c>
      <c r="W21" s="503">
        <f t="shared" si="7"/>
        <v>7253.52</v>
      </c>
      <c r="X21" s="499">
        <f t="shared" si="7"/>
        <v>2420</v>
      </c>
      <c r="Y21" s="501">
        <f t="shared" si="7"/>
        <v>18842.18</v>
      </c>
      <c r="Z21" s="501">
        <f t="shared" si="7"/>
        <v>1035.26</v>
      </c>
      <c r="AA21" s="502">
        <f t="shared" si="6"/>
        <v>717.52</v>
      </c>
      <c r="AB21" s="16"/>
      <c r="AF21" s="64" t="s">
        <v>818</v>
      </c>
      <c r="AH21" s="64">
        <f>AH20/2</f>
        <v>1050</v>
      </c>
    </row>
    <row r="22" spans="1:37" ht="15" customHeight="1">
      <c r="A22" s="643" t="s">
        <v>328</v>
      </c>
      <c r="B22" s="644"/>
      <c r="C22" s="644"/>
      <c r="D22" s="645"/>
      <c r="E22" s="228">
        <v>1800</v>
      </c>
      <c r="F22" s="228">
        <v>2500</v>
      </c>
      <c r="G22" s="229">
        <v>7.0000000000000007E-2</v>
      </c>
      <c r="H22" s="228">
        <f t="shared" si="0"/>
        <v>126</v>
      </c>
      <c r="I22" s="228">
        <f t="shared" si="1"/>
        <v>175</v>
      </c>
      <c r="K22" s="500">
        <f>K21+1</f>
        <v>2036</v>
      </c>
      <c r="L22" s="499">
        <f t="shared" si="3"/>
        <v>34624.720000000001</v>
      </c>
      <c r="M22" s="499">
        <f t="shared" si="3"/>
        <v>191845.44</v>
      </c>
      <c r="N22" s="499">
        <f t="shared" si="3"/>
        <v>14172.707999999999</v>
      </c>
      <c r="O22" s="389">
        <f t="shared" si="3"/>
        <v>10893.064</v>
      </c>
      <c r="P22" s="499">
        <f t="shared" si="3"/>
        <v>2428</v>
      </c>
      <c r="Q22" s="501">
        <f t="shared" si="3"/>
        <v>18594.815999999999</v>
      </c>
      <c r="R22" s="501">
        <f t="shared" si="3"/>
        <v>1427.8119999999999</v>
      </c>
      <c r="S22" s="502">
        <f t="shared" si="3"/>
        <v>1114.116</v>
      </c>
      <c r="T22" s="499">
        <f t="shared" si="7"/>
        <v>34902.28</v>
      </c>
      <c r="U22" s="501">
        <f t="shared" si="7"/>
        <v>196763.10800000001</v>
      </c>
      <c r="V22" s="501">
        <f t="shared" si="7"/>
        <v>10974.619999999999</v>
      </c>
      <c r="W22" s="503">
        <f t="shared" si="7"/>
        <v>7615.3280000000013</v>
      </c>
      <c r="X22" s="499">
        <f t="shared" si="7"/>
        <v>2445.8000000000002</v>
      </c>
      <c r="Y22" s="501">
        <f t="shared" si="7"/>
        <v>19077.292000000001</v>
      </c>
      <c r="Z22" s="501">
        <f t="shared" si="7"/>
        <v>1072.9639999999999</v>
      </c>
      <c r="AA22" s="502">
        <f t="shared" si="6"/>
        <v>751.28800000000001</v>
      </c>
    </row>
    <row r="23" spans="1:37" ht="15" customHeight="1">
      <c r="A23" s="646" t="s">
        <v>317</v>
      </c>
      <c r="B23" s="647"/>
      <c r="C23" s="647"/>
      <c r="D23" s="648"/>
      <c r="E23" s="230">
        <v>200</v>
      </c>
      <c r="F23" s="230">
        <v>400</v>
      </c>
      <c r="G23" s="231">
        <v>0.03</v>
      </c>
      <c r="H23" s="230">
        <f t="shared" si="0"/>
        <v>6</v>
      </c>
      <c r="I23" s="230">
        <f t="shared" si="1"/>
        <v>12</v>
      </c>
      <c r="K23" s="500">
        <f>K22+1</f>
        <v>2037</v>
      </c>
      <c r="L23" s="499">
        <f t="shared" si="3"/>
        <v>35002.639999999999</v>
      </c>
      <c r="M23" s="499">
        <f t="shared" si="3"/>
        <v>193845.78</v>
      </c>
      <c r="N23" s="499">
        <f t="shared" si="3"/>
        <v>14715.195999999998</v>
      </c>
      <c r="O23" s="389">
        <f t="shared" si="3"/>
        <v>11401.168</v>
      </c>
      <c r="P23" s="499">
        <f t="shared" si="3"/>
        <v>2452</v>
      </c>
      <c r="Q23" s="501">
        <f t="shared" si="3"/>
        <v>18794.392</v>
      </c>
      <c r="R23" s="501">
        <f t="shared" si="3"/>
        <v>1482.644</v>
      </c>
      <c r="S23" s="502">
        <f t="shared" si="3"/>
        <v>1165.5920000000001</v>
      </c>
      <c r="T23" s="499">
        <f t="shared" si="7"/>
        <v>35296.36</v>
      </c>
      <c r="U23" s="501">
        <f t="shared" si="7"/>
        <v>199067.99599999998</v>
      </c>
      <c r="V23" s="501">
        <f t="shared" si="7"/>
        <v>11375.74</v>
      </c>
      <c r="W23" s="503">
        <f t="shared" si="7"/>
        <v>7977.1360000000004</v>
      </c>
      <c r="X23" s="499">
        <f t="shared" si="7"/>
        <v>2471.6</v>
      </c>
      <c r="Y23" s="501">
        <f t="shared" si="7"/>
        <v>19312.403999999999</v>
      </c>
      <c r="Z23" s="501">
        <f t="shared" si="7"/>
        <v>1110.6679999999999</v>
      </c>
      <c r="AA23" s="502">
        <f t="shared" si="6"/>
        <v>785.05600000000004</v>
      </c>
      <c r="AE23" s="64">
        <v>2019</v>
      </c>
      <c r="AF23" s="64" t="s">
        <v>819</v>
      </c>
      <c r="AH23" s="64">
        <f>AH16+AH21</f>
        <v>4050</v>
      </c>
      <c r="AJ23" s="64" t="s">
        <v>820</v>
      </c>
      <c r="AK23" s="64" t="s">
        <v>821</v>
      </c>
    </row>
    <row r="24" spans="1:37" ht="15" customHeight="1">
      <c r="A24" s="643" t="s">
        <v>318</v>
      </c>
      <c r="B24" s="644"/>
      <c r="C24" s="644"/>
      <c r="D24" s="645"/>
      <c r="E24" s="228">
        <v>300</v>
      </c>
      <c r="F24" s="228">
        <v>400</v>
      </c>
      <c r="G24" s="229">
        <v>0.04</v>
      </c>
      <c r="H24" s="228">
        <f t="shared" si="0"/>
        <v>12</v>
      </c>
      <c r="I24" s="228">
        <f t="shared" si="1"/>
        <v>16</v>
      </c>
      <c r="K24" s="500">
        <f t="shared" ref="K24:K25" si="9">K23+1</f>
        <v>2038</v>
      </c>
      <c r="L24" s="499">
        <f t="shared" si="3"/>
        <v>35380.559999999998</v>
      </c>
      <c r="M24" s="499">
        <f t="shared" si="3"/>
        <v>195846.12</v>
      </c>
      <c r="N24" s="499">
        <f t="shared" si="3"/>
        <v>15257.683999999999</v>
      </c>
      <c r="O24" s="389">
        <f t="shared" si="3"/>
        <v>11909.272000000001</v>
      </c>
      <c r="P24" s="499">
        <f t="shared" si="3"/>
        <v>2476</v>
      </c>
      <c r="Q24" s="501">
        <f t="shared" si="3"/>
        <v>18993.968000000001</v>
      </c>
      <c r="R24" s="501">
        <f t="shared" si="3"/>
        <v>1537.4760000000001</v>
      </c>
      <c r="S24" s="502">
        <f t="shared" si="3"/>
        <v>1217.0680000000002</v>
      </c>
      <c r="T24" s="499">
        <f t="shared" si="7"/>
        <v>35690.44</v>
      </c>
      <c r="U24" s="501">
        <f t="shared" si="7"/>
        <v>201372.88399999999</v>
      </c>
      <c r="V24" s="501">
        <f t="shared" si="7"/>
        <v>11776.86</v>
      </c>
      <c r="W24" s="503">
        <f t="shared" si="7"/>
        <v>8338.9440000000013</v>
      </c>
      <c r="X24" s="499">
        <f t="shared" si="7"/>
        <v>2497.4</v>
      </c>
      <c r="Y24" s="501">
        <f t="shared" si="7"/>
        <v>19547.516</v>
      </c>
      <c r="Z24" s="501">
        <f t="shared" si="7"/>
        <v>1148.3719999999998</v>
      </c>
      <c r="AA24" s="502">
        <f t="shared" si="6"/>
        <v>818.82400000000007</v>
      </c>
      <c r="AE24" s="64">
        <v>2045</v>
      </c>
      <c r="AH24" s="64">
        <f>MROUND((AH23*((1+AX6)^(2045-2019))),50)</f>
        <v>5750</v>
      </c>
      <c r="AJ24" s="64" t="s">
        <v>820</v>
      </c>
      <c r="AK24" s="64" t="s">
        <v>821</v>
      </c>
    </row>
    <row r="25" spans="1:37" ht="15" customHeight="1">
      <c r="A25" s="646" t="s">
        <v>319</v>
      </c>
      <c r="B25" s="647"/>
      <c r="C25" s="647"/>
      <c r="D25" s="648"/>
      <c r="E25" s="230">
        <v>400</v>
      </c>
      <c r="F25" s="230">
        <v>500</v>
      </c>
      <c r="G25" s="231">
        <v>0.03</v>
      </c>
      <c r="H25" s="230">
        <f t="shared" si="0"/>
        <v>12</v>
      </c>
      <c r="I25" s="230">
        <f t="shared" si="1"/>
        <v>15</v>
      </c>
      <c r="K25" s="500">
        <f t="shared" si="9"/>
        <v>2039</v>
      </c>
      <c r="L25" s="499">
        <f t="shared" si="3"/>
        <v>35758.480000000003</v>
      </c>
      <c r="M25" s="499">
        <f t="shared" si="3"/>
        <v>197846.46</v>
      </c>
      <c r="N25" s="499">
        <f t="shared" si="3"/>
        <v>15800.171999999999</v>
      </c>
      <c r="O25" s="389">
        <f t="shared" si="3"/>
        <v>12417.376</v>
      </c>
      <c r="P25" s="499">
        <f t="shared" si="3"/>
        <v>2500</v>
      </c>
      <c r="Q25" s="501">
        <f t="shared" si="3"/>
        <v>19193.544000000002</v>
      </c>
      <c r="R25" s="501">
        <f t="shared" si="3"/>
        <v>1592.308</v>
      </c>
      <c r="S25" s="502">
        <f t="shared" si="3"/>
        <v>1268.5440000000001</v>
      </c>
      <c r="T25" s="499">
        <f t="shared" si="7"/>
        <v>36084.519999999997</v>
      </c>
      <c r="U25" s="501">
        <f t="shared" si="7"/>
        <v>203677.772</v>
      </c>
      <c r="V25" s="501">
        <f t="shared" si="7"/>
        <v>12177.98</v>
      </c>
      <c r="W25" s="503">
        <f t="shared" si="7"/>
        <v>8700.7520000000004</v>
      </c>
      <c r="X25" s="499">
        <f t="shared" si="7"/>
        <v>2523.1999999999998</v>
      </c>
      <c r="Y25" s="501">
        <f t="shared" si="7"/>
        <v>19782.628000000001</v>
      </c>
      <c r="Z25" s="501">
        <f t="shared" si="7"/>
        <v>1186.0759999999998</v>
      </c>
      <c r="AA25" s="502">
        <f t="shared" si="6"/>
        <v>852.59199999999998</v>
      </c>
    </row>
    <row r="26" spans="1:37" ht="15" customHeight="1">
      <c r="A26" s="643" t="s">
        <v>320</v>
      </c>
      <c r="B26" s="644"/>
      <c r="C26" s="644"/>
      <c r="D26" s="645"/>
      <c r="E26" s="228">
        <v>1800</v>
      </c>
      <c r="F26" s="228">
        <v>2900</v>
      </c>
      <c r="G26" s="229">
        <v>0.05</v>
      </c>
      <c r="H26" s="228">
        <f t="shared" si="0"/>
        <v>90</v>
      </c>
      <c r="I26" s="228">
        <f t="shared" si="1"/>
        <v>145</v>
      </c>
      <c r="K26" s="500">
        <v>2040</v>
      </c>
      <c r="L26" s="499">
        <f t="shared" si="3"/>
        <v>36136.400000000001</v>
      </c>
      <c r="M26" s="499">
        <f t="shared" si="3"/>
        <v>199846.8</v>
      </c>
      <c r="N26" s="499">
        <f t="shared" si="3"/>
        <v>16342.659999999998</v>
      </c>
      <c r="O26" s="389">
        <f t="shared" si="3"/>
        <v>12925.480000000001</v>
      </c>
      <c r="P26" s="499">
        <f t="shared" si="3"/>
        <v>2524</v>
      </c>
      <c r="Q26" s="501">
        <f t="shared" si="3"/>
        <v>19393.12</v>
      </c>
      <c r="R26" s="501">
        <f t="shared" si="3"/>
        <v>1647.14</v>
      </c>
      <c r="S26" s="502">
        <f t="shared" si="3"/>
        <v>1320.0200000000002</v>
      </c>
      <c r="T26" s="499">
        <f t="shared" si="7"/>
        <v>36478.6</v>
      </c>
      <c r="U26" s="501">
        <f t="shared" si="7"/>
        <v>205982.66</v>
      </c>
      <c r="V26" s="501">
        <f t="shared" si="7"/>
        <v>12579.099999999999</v>
      </c>
      <c r="W26" s="503">
        <f t="shared" si="7"/>
        <v>9062.5600000000013</v>
      </c>
      <c r="X26" s="499">
        <f t="shared" si="7"/>
        <v>2549</v>
      </c>
      <c r="Y26" s="501">
        <f t="shared" si="7"/>
        <v>20017.739999999998</v>
      </c>
      <c r="Z26" s="501">
        <f t="shared" si="7"/>
        <v>1223.78</v>
      </c>
      <c r="AA26" s="502">
        <f t="shared" si="6"/>
        <v>886.36</v>
      </c>
      <c r="AB26" s="16"/>
    </row>
    <row r="27" spans="1:37" ht="15" customHeight="1">
      <c r="A27" s="646" t="s">
        <v>321</v>
      </c>
      <c r="B27" s="647"/>
      <c r="C27" s="647"/>
      <c r="D27" s="648"/>
      <c r="E27" s="230">
        <f>3300+AH23</f>
        <v>7350</v>
      </c>
      <c r="F27" s="230">
        <f>4700+5750</f>
        <v>10450</v>
      </c>
      <c r="G27" s="231">
        <v>0.09</v>
      </c>
      <c r="H27" s="230">
        <f t="shared" si="0"/>
        <v>662</v>
      </c>
      <c r="I27" s="230">
        <f t="shared" si="1"/>
        <v>941</v>
      </c>
      <c r="K27" s="500">
        <f>K26+1</f>
        <v>2041</v>
      </c>
      <c r="L27" s="499">
        <f t="shared" si="3"/>
        <v>36514.32</v>
      </c>
      <c r="M27" s="499">
        <f t="shared" si="3"/>
        <v>201847.14</v>
      </c>
      <c r="N27" s="499">
        <f t="shared" si="3"/>
        <v>16885.148000000001</v>
      </c>
      <c r="O27" s="389">
        <f t="shared" si="3"/>
        <v>13433.584000000001</v>
      </c>
      <c r="P27" s="499">
        <f t="shared" si="3"/>
        <v>2548</v>
      </c>
      <c r="Q27" s="501">
        <f t="shared" si="3"/>
        <v>19592.696</v>
      </c>
      <c r="R27" s="501">
        <f t="shared" si="3"/>
        <v>1701.972</v>
      </c>
      <c r="S27" s="502">
        <f t="shared" si="3"/>
        <v>1371.4960000000001</v>
      </c>
      <c r="T27" s="499">
        <f t="shared" si="7"/>
        <v>36872.68</v>
      </c>
      <c r="U27" s="501">
        <f t="shared" si="7"/>
        <v>208287.54800000001</v>
      </c>
      <c r="V27" s="501">
        <f t="shared" si="7"/>
        <v>12980.220000000001</v>
      </c>
      <c r="W27" s="503">
        <f t="shared" si="7"/>
        <v>9424.3680000000004</v>
      </c>
      <c r="X27" s="499">
        <f t="shared" si="7"/>
        <v>2574.8000000000002</v>
      </c>
      <c r="Y27" s="501">
        <f t="shared" si="7"/>
        <v>20252.851999999999</v>
      </c>
      <c r="Z27" s="501">
        <f t="shared" si="7"/>
        <v>1261.4839999999999</v>
      </c>
      <c r="AA27" s="502">
        <f t="shared" si="6"/>
        <v>920.12800000000004</v>
      </c>
    </row>
    <row r="28" spans="1:37" ht="15" customHeight="1">
      <c r="A28" s="643" t="s">
        <v>322</v>
      </c>
      <c r="B28" s="644"/>
      <c r="C28" s="644"/>
      <c r="D28" s="645"/>
      <c r="E28" s="228">
        <v>400</v>
      </c>
      <c r="F28" s="228">
        <v>500</v>
      </c>
      <c r="G28" s="229">
        <v>0.06</v>
      </c>
      <c r="H28" s="228">
        <f t="shared" si="0"/>
        <v>24</v>
      </c>
      <c r="I28" s="228">
        <f t="shared" si="1"/>
        <v>30</v>
      </c>
      <c r="K28" s="500">
        <f>K27+1</f>
        <v>2042</v>
      </c>
      <c r="L28" s="499">
        <f t="shared" si="3"/>
        <v>36892.239999999998</v>
      </c>
      <c r="M28" s="499">
        <f t="shared" si="3"/>
        <v>203847.47999999998</v>
      </c>
      <c r="N28" s="499">
        <f t="shared" si="3"/>
        <v>17427.635999999999</v>
      </c>
      <c r="O28" s="389">
        <f t="shared" si="3"/>
        <v>13941.688</v>
      </c>
      <c r="P28" s="499">
        <f t="shared" si="3"/>
        <v>2572</v>
      </c>
      <c r="Q28" s="501">
        <f t="shared" si="3"/>
        <v>19792.272000000001</v>
      </c>
      <c r="R28" s="501">
        <f t="shared" si="3"/>
        <v>1756.8040000000001</v>
      </c>
      <c r="S28" s="502">
        <f t="shared" si="3"/>
        <v>1422.9720000000002</v>
      </c>
      <c r="T28" s="499">
        <f t="shared" si="7"/>
        <v>37266.76</v>
      </c>
      <c r="U28" s="501">
        <f t="shared" si="7"/>
        <v>210592.43599999999</v>
      </c>
      <c r="V28" s="501">
        <f t="shared" si="7"/>
        <v>13381.34</v>
      </c>
      <c r="W28" s="503">
        <f t="shared" si="7"/>
        <v>9786.1760000000013</v>
      </c>
      <c r="X28" s="499">
        <f t="shared" si="7"/>
        <v>2600.6</v>
      </c>
      <c r="Y28" s="501">
        <f t="shared" si="7"/>
        <v>20487.964</v>
      </c>
      <c r="Z28" s="501">
        <f t="shared" si="7"/>
        <v>1299.1879999999999</v>
      </c>
      <c r="AA28" s="502">
        <f t="shared" si="6"/>
        <v>953.89599999999996</v>
      </c>
    </row>
    <row r="29" spans="1:37" ht="15" customHeight="1">
      <c r="A29" s="646" t="s">
        <v>323</v>
      </c>
      <c r="B29" s="647"/>
      <c r="C29" s="647"/>
      <c r="D29" s="648"/>
      <c r="E29" s="230">
        <v>400</v>
      </c>
      <c r="F29" s="230">
        <v>500</v>
      </c>
      <c r="G29" s="231">
        <v>0.06</v>
      </c>
      <c r="H29" s="230">
        <f t="shared" si="0"/>
        <v>24</v>
      </c>
      <c r="I29" s="230">
        <f t="shared" si="1"/>
        <v>30</v>
      </c>
      <c r="K29" s="500">
        <f t="shared" ref="K29:K30" si="10">K28+1</f>
        <v>2043</v>
      </c>
      <c r="L29" s="499">
        <f t="shared" si="3"/>
        <v>37270.160000000003</v>
      </c>
      <c r="M29" s="499">
        <f t="shared" si="3"/>
        <v>205847.82</v>
      </c>
      <c r="N29" s="499">
        <f t="shared" si="3"/>
        <v>17970.123999999996</v>
      </c>
      <c r="O29" s="389">
        <f t="shared" si="3"/>
        <v>14449.792000000001</v>
      </c>
      <c r="P29" s="499">
        <f t="shared" si="3"/>
        <v>2596</v>
      </c>
      <c r="Q29" s="501">
        <f t="shared" si="3"/>
        <v>19991.847999999998</v>
      </c>
      <c r="R29" s="501">
        <f t="shared" si="3"/>
        <v>1811.636</v>
      </c>
      <c r="S29" s="502">
        <f t="shared" si="3"/>
        <v>1474.4480000000001</v>
      </c>
      <c r="T29" s="499">
        <f t="shared" si="7"/>
        <v>37660.839999999997</v>
      </c>
      <c r="U29" s="501">
        <f t="shared" si="7"/>
        <v>212897.32399999999</v>
      </c>
      <c r="V29" s="501">
        <f t="shared" si="7"/>
        <v>13782.46</v>
      </c>
      <c r="W29" s="503">
        <f t="shared" si="7"/>
        <v>10147.984</v>
      </c>
      <c r="X29" s="499">
        <f t="shared" si="7"/>
        <v>2626.4</v>
      </c>
      <c r="Y29" s="501">
        <f t="shared" si="7"/>
        <v>20723.076000000001</v>
      </c>
      <c r="Z29" s="501">
        <f t="shared" si="7"/>
        <v>1336.8919999999998</v>
      </c>
      <c r="AA29" s="502">
        <f t="shared" si="6"/>
        <v>987.66399999999999</v>
      </c>
    </row>
    <row r="30" spans="1:37" ht="15" customHeight="1">
      <c r="A30" s="643" t="s">
        <v>324</v>
      </c>
      <c r="B30" s="644"/>
      <c r="C30" s="644"/>
      <c r="D30" s="645"/>
      <c r="E30" s="228">
        <v>400</v>
      </c>
      <c r="F30" s="228">
        <v>500</v>
      </c>
      <c r="G30" s="229">
        <v>0.06</v>
      </c>
      <c r="H30" s="228">
        <f t="shared" si="0"/>
        <v>24</v>
      </c>
      <c r="I30" s="228">
        <f t="shared" si="1"/>
        <v>30</v>
      </c>
      <c r="K30" s="500">
        <f t="shared" si="10"/>
        <v>2044</v>
      </c>
      <c r="L30" s="499">
        <f>(((L$31-L$6)/25)*($K30-$K$6))+L$6</f>
        <v>37648.080000000002</v>
      </c>
      <c r="M30" s="499">
        <f t="shared" ref="M30:S30" si="11">(((M$31-M$6)/25)*($K30-$K$6))+M$6</f>
        <v>207848.16</v>
      </c>
      <c r="N30" s="499">
        <f t="shared" si="11"/>
        <v>18512.612000000001</v>
      </c>
      <c r="O30" s="389">
        <f t="shared" si="11"/>
        <v>14957.896000000001</v>
      </c>
      <c r="P30" s="499">
        <f t="shared" si="11"/>
        <v>2620</v>
      </c>
      <c r="Q30" s="501">
        <f t="shared" si="11"/>
        <v>20191.423999999999</v>
      </c>
      <c r="R30" s="501">
        <f t="shared" si="11"/>
        <v>1866.4680000000001</v>
      </c>
      <c r="S30" s="502">
        <f t="shared" si="11"/>
        <v>1525.9240000000002</v>
      </c>
      <c r="T30" s="499">
        <f t="shared" si="7"/>
        <v>38054.92</v>
      </c>
      <c r="U30" s="501">
        <f t="shared" si="7"/>
        <v>215202.212</v>
      </c>
      <c r="V30" s="501">
        <f t="shared" si="7"/>
        <v>14183.580000000002</v>
      </c>
      <c r="W30" s="503">
        <f t="shared" si="7"/>
        <v>10509.792000000001</v>
      </c>
      <c r="X30" s="499">
        <f t="shared" si="7"/>
        <v>2652.2</v>
      </c>
      <c r="Y30" s="501">
        <f t="shared" si="7"/>
        <v>20958.187999999998</v>
      </c>
      <c r="Z30" s="501">
        <f t="shared" si="7"/>
        <v>1374.5959999999998</v>
      </c>
      <c r="AA30" s="502">
        <f t="shared" si="6"/>
        <v>1021.432</v>
      </c>
    </row>
    <row r="31" spans="1:37" ht="15" customHeight="1">
      <c r="A31" s="646" t="s">
        <v>325</v>
      </c>
      <c r="B31" s="647"/>
      <c r="C31" s="647"/>
      <c r="D31" s="648"/>
      <c r="E31" s="230">
        <v>300</v>
      </c>
      <c r="F31" s="230">
        <v>400</v>
      </c>
      <c r="G31" s="231">
        <v>7.0000000000000007E-2</v>
      </c>
      <c r="H31" s="230">
        <f t="shared" si="0"/>
        <v>21</v>
      </c>
      <c r="I31" s="230">
        <f>ROUND((F31*G31),0)</f>
        <v>28</v>
      </c>
      <c r="K31" s="160">
        <v>2045</v>
      </c>
      <c r="L31" s="504">
        <v>38026</v>
      </c>
      <c r="M31" s="505">
        <v>209848.5</v>
      </c>
      <c r="N31" s="505">
        <v>19055.099999999999</v>
      </c>
      <c r="O31" s="506">
        <v>15466</v>
      </c>
      <c r="P31" s="504">
        <v>2644</v>
      </c>
      <c r="Q31" s="505">
        <v>20391</v>
      </c>
      <c r="R31" s="505">
        <v>1921.3</v>
      </c>
      <c r="S31" s="507">
        <v>1577.4</v>
      </c>
      <c r="T31" s="504">
        <v>38449</v>
      </c>
      <c r="U31" s="508">
        <v>217507.1</v>
      </c>
      <c r="V31" s="508">
        <v>14584.7</v>
      </c>
      <c r="W31" s="509">
        <v>10871.6</v>
      </c>
      <c r="X31" s="504">
        <v>2678</v>
      </c>
      <c r="Y31" s="508">
        <v>21193.3</v>
      </c>
      <c r="Z31" s="508">
        <v>1412.3</v>
      </c>
      <c r="AA31" s="510">
        <v>1055.2</v>
      </c>
      <c r="AB31" s="16"/>
    </row>
    <row r="32" spans="1:37" ht="15" customHeight="1">
      <c r="A32" s="174" t="s">
        <v>339</v>
      </c>
      <c r="B32" s="174"/>
      <c r="C32" s="174"/>
      <c r="D32" s="174"/>
      <c r="E32" s="174"/>
      <c r="F32" s="174"/>
      <c r="G32" s="174"/>
      <c r="H32" s="174"/>
      <c r="I32" s="174"/>
      <c r="K32" s="175">
        <v>2046</v>
      </c>
      <c r="L32" s="402">
        <f>L$31</f>
        <v>38026</v>
      </c>
      <c r="M32" s="403">
        <f t="shared" ref="M32:AA46" si="12">M$31</f>
        <v>209848.5</v>
      </c>
      <c r="N32" s="403">
        <f t="shared" si="12"/>
        <v>19055.099999999999</v>
      </c>
      <c r="O32" s="404">
        <f t="shared" si="12"/>
        <v>15466</v>
      </c>
      <c r="P32" s="405">
        <f t="shared" si="12"/>
        <v>2644</v>
      </c>
      <c r="Q32" s="403">
        <f t="shared" si="12"/>
        <v>20391</v>
      </c>
      <c r="R32" s="403">
        <f t="shared" si="12"/>
        <v>1921.3</v>
      </c>
      <c r="S32" s="406">
        <f t="shared" si="12"/>
        <v>1577.4</v>
      </c>
      <c r="T32" s="405">
        <f t="shared" si="12"/>
        <v>38449</v>
      </c>
      <c r="U32" s="407">
        <f t="shared" si="12"/>
        <v>217507.1</v>
      </c>
      <c r="V32" s="407">
        <f t="shared" si="12"/>
        <v>14584.7</v>
      </c>
      <c r="W32" s="408">
        <f t="shared" si="12"/>
        <v>10871.6</v>
      </c>
      <c r="X32" s="405">
        <f t="shared" si="12"/>
        <v>2678</v>
      </c>
      <c r="Y32" s="407">
        <f t="shared" si="12"/>
        <v>21193.3</v>
      </c>
      <c r="Z32" s="407">
        <f t="shared" si="12"/>
        <v>1412.3</v>
      </c>
      <c r="AA32" s="409">
        <f t="shared" si="12"/>
        <v>1055.2</v>
      </c>
    </row>
    <row r="33" spans="1:28" ht="15" customHeight="1">
      <c r="A33" s="174"/>
      <c r="B33" s="174"/>
      <c r="C33" s="658" t="s">
        <v>330</v>
      </c>
      <c r="D33" s="659"/>
      <c r="E33" s="230">
        <f>SUM(E5:E31)</f>
        <v>49800</v>
      </c>
      <c r="F33" s="230">
        <f>SUM(F5:F31)</f>
        <v>67900</v>
      </c>
      <c r="G33" s="232">
        <f>H33/E33</f>
        <v>6.3072289156626507E-2</v>
      </c>
      <c r="H33" s="230">
        <f>SUM(H5:H31)</f>
        <v>3141</v>
      </c>
      <c r="I33" s="230">
        <f>SUM(I5:I31)</f>
        <v>4286</v>
      </c>
      <c r="K33" s="175">
        <v>2047</v>
      </c>
      <c r="L33" s="405">
        <f t="shared" ref="L33:L46" si="13">L$31</f>
        <v>38026</v>
      </c>
      <c r="M33" s="403">
        <f t="shared" si="12"/>
        <v>209848.5</v>
      </c>
      <c r="N33" s="403">
        <f t="shared" si="12"/>
        <v>19055.099999999999</v>
      </c>
      <c r="O33" s="404">
        <f t="shared" si="12"/>
        <v>15466</v>
      </c>
      <c r="P33" s="405">
        <f t="shared" si="12"/>
        <v>2644</v>
      </c>
      <c r="Q33" s="403">
        <f t="shared" si="12"/>
        <v>20391</v>
      </c>
      <c r="R33" s="403">
        <f t="shared" si="12"/>
        <v>1921.3</v>
      </c>
      <c r="S33" s="406">
        <f t="shared" si="12"/>
        <v>1577.4</v>
      </c>
      <c r="T33" s="405">
        <f t="shared" si="12"/>
        <v>38449</v>
      </c>
      <c r="U33" s="407">
        <f t="shared" si="12"/>
        <v>217507.1</v>
      </c>
      <c r="V33" s="407">
        <f t="shared" si="12"/>
        <v>14584.7</v>
      </c>
      <c r="W33" s="408">
        <f t="shared" si="12"/>
        <v>10871.6</v>
      </c>
      <c r="X33" s="405">
        <f t="shared" si="12"/>
        <v>2678</v>
      </c>
      <c r="Y33" s="407">
        <f t="shared" si="12"/>
        <v>21193.3</v>
      </c>
      <c r="Z33" s="407">
        <f t="shared" si="12"/>
        <v>1412.3</v>
      </c>
      <c r="AA33" s="409">
        <f t="shared" si="12"/>
        <v>1055.2</v>
      </c>
    </row>
    <row r="34" spans="1:28" ht="15" customHeight="1">
      <c r="A34" s="174"/>
      <c r="B34" s="174"/>
      <c r="C34" s="660" t="s">
        <v>331</v>
      </c>
      <c r="D34" s="661"/>
      <c r="E34" s="228">
        <f>E33/2</f>
        <v>24900</v>
      </c>
      <c r="F34" s="228">
        <f>F33/2</f>
        <v>33950</v>
      </c>
      <c r="G34" s="174"/>
      <c r="H34" s="228">
        <f>H33/2</f>
        <v>1570.5</v>
      </c>
      <c r="I34" s="228">
        <f>I33/2</f>
        <v>2143</v>
      </c>
      <c r="K34" s="175">
        <v>2048</v>
      </c>
      <c r="L34" s="405">
        <f t="shared" si="13"/>
        <v>38026</v>
      </c>
      <c r="M34" s="403">
        <f t="shared" si="12"/>
        <v>209848.5</v>
      </c>
      <c r="N34" s="403">
        <f t="shared" si="12"/>
        <v>19055.099999999999</v>
      </c>
      <c r="O34" s="404">
        <f t="shared" si="12"/>
        <v>15466</v>
      </c>
      <c r="P34" s="405">
        <f t="shared" si="12"/>
        <v>2644</v>
      </c>
      <c r="Q34" s="403">
        <f t="shared" si="12"/>
        <v>20391</v>
      </c>
      <c r="R34" s="403">
        <f t="shared" si="12"/>
        <v>1921.3</v>
      </c>
      <c r="S34" s="406">
        <f t="shared" si="12"/>
        <v>1577.4</v>
      </c>
      <c r="T34" s="405">
        <f t="shared" si="12"/>
        <v>38449</v>
      </c>
      <c r="U34" s="407">
        <f t="shared" si="12"/>
        <v>217507.1</v>
      </c>
      <c r="V34" s="407">
        <f t="shared" si="12"/>
        <v>14584.7</v>
      </c>
      <c r="W34" s="408">
        <f t="shared" si="12"/>
        <v>10871.6</v>
      </c>
      <c r="X34" s="405">
        <f t="shared" si="12"/>
        <v>2678</v>
      </c>
      <c r="Y34" s="407">
        <f t="shared" si="12"/>
        <v>21193.3</v>
      </c>
      <c r="Z34" s="407">
        <f t="shared" si="12"/>
        <v>1412.3</v>
      </c>
      <c r="AA34" s="409">
        <f t="shared" si="12"/>
        <v>1055.2</v>
      </c>
    </row>
    <row r="35" spans="1:28" ht="15" customHeight="1">
      <c r="A35" s="174"/>
      <c r="B35" s="174"/>
      <c r="C35" s="174"/>
      <c r="D35" s="174"/>
      <c r="E35" s="174"/>
      <c r="F35" s="174"/>
      <c r="G35" s="174"/>
      <c r="H35" s="174"/>
      <c r="I35" s="174"/>
      <c r="K35" s="175">
        <v>2049</v>
      </c>
      <c r="L35" s="405">
        <f t="shared" si="13"/>
        <v>38026</v>
      </c>
      <c r="M35" s="403">
        <f t="shared" si="12"/>
        <v>209848.5</v>
      </c>
      <c r="N35" s="403">
        <f t="shared" si="12"/>
        <v>19055.099999999999</v>
      </c>
      <c r="O35" s="404">
        <f t="shared" si="12"/>
        <v>15466</v>
      </c>
      <c r="P35" s="405">
        <f t="shared" si="12"/>
        <v>2644</v>
      </c>
      <c r="Q35" s="403">
        <f t="shared" si="12"/>
        <v>20391</v>
      </c>
      <c r="R35" s="403">
        <f t="shared" si="12"/>
        <v>1921.3</v>
      </c>
      <c r="S35" s="406">
        <f t="shared" si="12"/>
        <v>1577.4</v>
      </c>
      <c r="T35" s="405">
        <f t="shared" si="12"/>
        <v>38449</v>
      </c>
      <c r="U35" s="407">
        <f t="shared" si="12"/>
        <v>217507.1</v>
      </c>
      <c r="V35" s="407">
        <f t="shared" si="12"/>
        <v>14584.7</v>
      </c>
      <c r="W35" s="408">
        <f t="shared" si="12"/>
        <v>10871.6</v>
      </c>
      <c r="X35" s="405">
        <f t="shared" si="12"/>
        <v>2678</v>
      </c>
      <c r="Y35" s="407">
        <f t="shared" si="12"/>
        <v>21193.3</v>
      </c>
      <c r="Z35" s="407">
        <f t="shared" si="12"/>
        <v>1412.3</v>
      </c>
      <c r="AA35" s="409">
        <f t="shared" si="12"/>
        <v>1055.2</v>
      </c>
    </row>
    <row r="36" spans="1:28" ht="15" customHeight="1">
      <c r="A36" s="174"/>
      <c r="B36" s="174"/>
      <c r="C36" s="174"/>
      <c r="D36" s="174"/>
      <c r="E36" s="174"/>
      <c r="F36" s="174"/>
      <c r="G36" s="174"/>
      <c r="H36" s="174"/>
      <c r="I36" s="174"/>
      <c r="K36" s="175">
        <v>2050</v>
      </c>
      <c r="L36" s="405">
        <f t="shared" si="13"/>
        <v>38026</v>
      </c>
      <c r="M36" s="403">
        <f t="shared" si="12"/>
        <v>209848.5</v>
      </c>
      <c r="N36" s="403">
        <f t="shared" si="12"/>
        <v>19055.099999999999</v>
      </c>
      <c r="O36" s="404">
        <f t="shared" si="12"/>
        <v>15466</v>
      </c>
      <c r="P36" s="405">
        <f t="shared" si="12"/>
        <v>2644</v>
      </c>
      <c r="Q36" s="403">
        <f t="shared" si="12"/>
        <v>20391</v>
      </c>
      <c r="R36" s="403">
        <f t="shared" si="12"/>
        <v>1921.3</v>
      </c>
      <c r="S36" s="406">
        <f t="shared" si="12"/>
        <v>1577.4</v>
      </c>
      <c r="T36" s="405">
        <f t="shared" si="12"/>
        <v>38449</v>
      </c>
      <c r="U36" s="407">
        <f t="shared" si="12"/>
        <v>217507.1</v>
      </c>
      <c r="V36" s="407">
        <f t="shared" si="12"/>
        <v>14584.7</v>
      </c>
      <c r="W36" s="408">
        <f t="shared" si="12"/>
        <v>10871.6</v>
      </c>
      <c r="X36" s="405">
        <f t="shared" si="12"/>
        <v>2678</v>
      </c>
      <c r="Y36" s="407">
        <f t="shared" si="12"/>
        <v>21193.3</v>
      </c>
      <c r="Z36" s="407">
        <f t="shared" si="12"/>
        <v>1412.3</v>
      </c>
      <c r="AA36" s="409">
        <f t="shared" si="12"/>
        <v>1055.2</v>
      </c>
    </row>
    <row r="37" spans="1:28" ht="15" customHeight="1">
      <c r="A37" s="174"/>
      <c r="B37" s="174"/>
      <c r="C37" s="174"/>
      <c r="D37" s="233">
        <v>2019</v>
      </c>
      <c r="E37" s="233">
        <v>2045</v>
      </c>
      <c r="F37" s="174"/>
      <c r="G37" s="174"/>
      <c r="H37" s="174"/>
      <c r="I37" s="174"/>
      <c r="K37" s="175">
        <v>2051</v>
      </c>
      <c r="L37" s="402">
        <f t="shared" si="13"/>
        <v>38026</v>
      </c>
      <c r="M37" s="403">
        <f t="shared" si="12"/>
        <v>209848.5</v>
      </c>
      <c r="N37" s="403">
        <f t="shared" si="12"/>
        <v>19055.099999999999</v>
      </c>
      <c r="O37" s="404">
        <f t="shared" si="12"/>
        <v>15466</v>
      </c>
      <c r="P37" s="405">
        <f t="shared" si="12"/>
        <v>2644</v>
      </c>
      <c r="Q37" s="403">
        <f t="shared" si="12"/>
        <v>20391</v>
      </c>
      <c r="R37" s="403">
        <f t="shared" si="12"/>
        <v>1921.3</v>
      </c>
      <c r="S37" s="406">
        <f t="shared" si="12"/>
        <v>1577.4</v>
      </c>
      <c r="T37" s="405">
        <f t="shared" si="12"/>
        <v>38449</v>
      </c>
      <c r="U37" s="407">
        <f t="shared" si="12"/>
        <v>217507.1</v>
      </c>
      <c r="V37" s="407">
        <f t="shared" si="12"/>
        <v>14584.7</v>
      </c>
      <c r="W37" s="408">
        <f t="shared" si="12"/>
        <v>10871.6</v>
      </c>
      <c r="X37" s="405">
        <f t="shared" si="12"/>
        <v>2678</v>
      </c>
      <c r="Y37" s="407">
        <f t="shared" si="12"/>
        <v>21193.3</v>
      </c>
      <c r="Z37" s="407">
        <f t="shared" si="12"/>
        <v>1412.3</v>
      </c>
      <c r="AA37" s="409">
        <f t="shared" si="12"/>
        <v>1055.2</v>
      </c>
    </row>
    <row r="38" spans="1:28" ht="15" customHeight="1">
      <c r="A38" s="174"/>
      <c r="B38" s="234" t="s">
        <v>241</v>
      </c>
      <c r="C38" s="174"/>
      <c r="D38" s="174">
        <f>E34</f>
        <v>24900</v>
      </c>
      <c r="E38" s="174">
        <f>F34</f>
        <v>33950</v>
      </c>
      <c r="F38" s="174"/>
      <c r="G38" s="174"/>
      <c r="H38" s="174"/>
      <c r="I38" s="174"/>
      <c r="K38" s="175">
        <v>2052</v>
      </c>
      <c r="L38" s="405">
        <f t="shared" si="13"/>
        <v>38026</v>
      </c>
      <c r="M38" s="403">
        <f t="shared" si="12"/>
        <v>209848.5</v>
      </c>
      <c r="N38" s="403">
        <f t="shared" si="12"/>
        <v>19055.099999999999</v>
      </c>
      <c r="O38" s="404">
        <f t="shared" si="12"/>
        <v>15466</v>
      </c>
      <c r="P38" s="405">
        <f t="shared" si="12"/>
        <v>2644</v>
      </c>
      <c r="Q38" s="403">
        <f t="shared" si="12"/>
        <v>20391</v>
      </c>
      <c r="R38" s="403">
        <f t="shared" si="12"/>
        <v>1921.3</v>
      </c>
      <c r="S38" s="406">
        <f t="shared" si="12"/>
        <v>1577.4</v>
      </c>
      <c r="T38" s="405">
        <f t="shared" si="12"/>
        <v>38449</v>
      </c>
      <c r="U38" s="407">
        <f t="shared" si="12"/>
        <v>217507.1</v>
      </c>
      <c r="V38" s="407">
        <f t="shared" si="12"/>
        <v>14584.7</v>
      </c>
      <c r="W38" s="408">
        <f t="shared" si="12"/>
        <v>10871.6</v>
      </c>
      <c r="X38" s="405">
        <f t="shared" si="12"/>
        <v>2678</v>
      </c>
      <c r="Y38" s="407">
        <f t="shared" si="12"/>
        <v>21193.3</v>
      </c>
      <c r="Z38" s="407">
        <f t="shared" si="12"/>
        <v>1412.3</v>
      </c>
      <c r="AA38" s="409">
        <f t="shared" si="12"/>
        <v>1055.2</v>
      </c>
    </row>
    <row r="39" spans="1:28" ht="15" customHeight="1">
      <c r="A39" s="174"/>
      <c r="B39" s="234" t="s">
        <v>329</v>
      </c>
      <c r="C39" s="235">
        <f>(E38/D38)^(1/(E37-D37))-1</f>
        <v>1.1995259493155608E-2</v>
      </c>
      <c r="D39" s="174"/>
      <c r="E39" s="174"/>
      <c r="F39" s="174"/>
      <c r="G39" s="174"/>
      <c r="H39" s="174"/>
      <c r="I39" s="174"/>
      <c r="K39" s="175">
        <v>2053</v>
      </c>
      <c r="L39" s="405">
        <f t="shared" si="13"/>
        <v>38026</v>
      </c>
      <c r="M39" s="403">
        <f t="shared" si="12"/>
        <v>209848.5</v>
      </c>
      <c r="N39" s="403">
        <f t="shared" si="12"/>
        <v>19055.099999999999</v>
      </c>
      <c r="O39" s="404">
        <f t="shared" si="12"/>
        <v>15466</v>
      </c>
      <c r="P39" s="405">
        <f t="shared" si="12"/>
        <v>2644</v>
      </c>
      <c r="Q39" s="403">
        <f t="shared" si="12"/>
        <v>20391</v>
      </c>
      <c r="R39" s="403">
        <f t="shared" si="12"/>
        <v>1921.3</v>
      </c>
      <c r="S39" s="406">
        <f t="shared" si="12"/>
        <v>1577.4</v>
      </c>
      <c r="T39" s="405">
        <f t="shared" si="12"/>
        <v>38449</v>
      </c>
      <c r="U39" s="407">
        <f t="shared" si="12"/>
        <v>217507.1</v>
      </c>
      <c r="V39" s="407">
        <f t="shared" si="12"/>
        <v>14584.7</v>
      </c>
      <c r="W39" s="408">
        <f t="shared" si="12"/>
        <v>10871.6</v>
      </c>
      <c r="X39" s="405">
        <f t="shared" si="12"/>
        <v>2678</v>
      </c>
      <c r="Y39" s="407">
        <f t="shared" si="12"/>
        <v>21193.3</v>
      </c>
      <c r="Z39" s="407">
        <f t="shared" si="12"/>
        <v>1412.3</v>
      </c>
      <c r="AA39" s="409">
        <f t="shared" si="12"/>
        <v>1055.2</v>
      </c>
    </row>
    <row r="40" spans="1:28" ht="15" customHeight="1">
      <c r="A40" s="174"/>
      <c r="B40" s="174"/>
      <c r="C40" s="174"/>
      <c r="D40" s="174"/>
      <c r="E40" s="174"/>
      <c r="F40" s="174"/>
      <c r="G40" s="174"/>
      <c r="H40" s="174"/>
      <c r="I40" s="174"/>
      <c r="K40" s="175">
        <v>2054</v>
      </c>
      <c r="L40" s="405">
        <f t="shared" si="13"/>
        <v>38026</v>
      </c>
      <c r="M40" s="403">
        <f t="shared" si="12"/>
        <v>209848.5</v>
      </c>
      <c r="N40" s="403">
        <f t="shared" si="12"/>
        <v>19055.099999999999</v>
      </c>
      <c r="O40" s="404">
        <f t="shared" si="12"/>
        <v>15466</v>
      </c>
      <c r="P40" s="405">
        <f t="shared" si="12"/>
        <v>2644</v>
      </c>
      <c r="Q40" s="403">
        <f t="shared" si="12"/>
        <v>20391</v>
      </c>
      <c r="R40" s="403">
        <f t="shared" si="12"/>
        <v>1921.3</v>
      </c>
      <c r="S40" s="406">
        <f t="shared" si="12"/>
        <v>1577.4</v>
      </c>
      <c r="T40" s="405">
        <f t="shared" si="12"/>
        <v>38449</v>
      </c>
      <c r="U40" s="407">
        <f t="shared" si="12"/>
        <v>217507.1</v>
      </c>
      <c r="V40" s="407">
        <f t="shared" si="12"/>
        <v>14584.7</v>
      </c>
      <c r="W40" s="408">
        <f t="shared" si="12"/>
        <v>10871.6</v>
      </c>
      <c r="X40" s="405">
        <f t="shared" si="12"/>
        <v>2678</v>
      </c>
      <c r="Y40" s="407">
        <f t="shared" si="12"/>
        <v>21193.3</v>
      </c>
      <c r="Z40" s="407">
        <f t="shared" si="12"/>
        <v>1412.3</v>
      </c>
      <c r="AA40" s="409">
        <f t="shared" si="12"/>
        <v>1055.2</v>
      </c>
    </row>
    <row r="41" spans="1:28" ht="15" customHeight="1" thickBot="1">
      <c r="A41" s="207"/>
      <c r="B41" s="207"/>
      <c r="C41" s="207"/>
      <c r="D41" s="207"/>
      <c r="E41" s="207"/>
      <c r="F41" s="207"/>
      <c r="G41" s="207"/>
      <c r="H41" s="207"/>
      <c r="I41" s="174"/>
      <c r="K41" s="184">
        <v>2055</v>
      </c>
      <c r="L41" s="410">
        <f t="shared" si="13"/>
        <v>38026</v>
      </c>
      <c r="M41" s="411">
        <f t="shared" si="12"/>
        <v>209848.5</v>
      </c>
      <c r="N41" s="411">
        <f t="shared" si="12"/>
        <v>19055.099999999999</v>
      </c>
      <c r="O41" s="412">
        <f t="shared" si="12"/>
        <v>15466</v>
      </c>
      <c r="P41" s="410">
        <f t="shared" si="12"/>
        <v>2644</v>
      </c>
      <c r="Q41" s="411">
        <f t="shared" si="12"/>
        <v>20391</v>
      </c>
      <c r="R41" s="411">
        <f t="shared" si="12"/>
        <v>1921.3</v>
      </c>
      <c r="S41" s="413">
        <f t="shared" si="12"/>
        <v>1577.4</v>
      </c>
      <c r="T41" s="410">
        <f t="shared" si="12"/>
        <v>38449</v>
      </c>
      <c r="U41" s="414">
        <f t="shared" si="12"/>
        <v>217507.1</v>
      </c>
      <c r="V41" s="414">
        <f t="shared" si="12"/>
        <v>14584.7</v>
      </c>
      <c r="W41" s="415">
        <f t="shared" si="12"/>
        <v>10871.6</v>
      </c>
      <c r="X41" s="410">
        <f t="shared" si="12"/>
        <v>2678</v>
      </c>
      <c r="Y41" s="414">
        <f t="shared" si="12"/>
        <v>21193.3</v>
      </c>
      <c r="Z41" s="414">
        <f t="shared" si="12"/>
        <v>1412.3</v>
      </c>
      <c r="AA41" s="416">
        <f t="shared" si="12"/>
        <v>1055.2</v>
      </c>
      <c r="AB41" s="8"/>
    </row>
    <row r="42" spans="1:28" ht="15" customHeight="1">
      <c r="A42" s="207"/>
      <c r="B42" s="207"/>
      <c r="C42" s="207"/>
      <c r="D42" s="207"/>
      <c r="E42" s="207"/>
      <c r="F42" s="207"/>
      <c r="G42" s="207"/>
      <c r="H42" s="207"/>
      <c r="I42" s="174"/>
      <c r="K42" s="175">
        <v>2056</v>
      </c>
      <c r="L42" s="176">
        <f t="shared" si="13"/>
        <v>38026</v>
      </c>
      <c r="M42" s="177">
        <f t="shared" si="12"/>
        <v>209848.5</v>
      </c>
      <c r="N42" s="177">
        <f t="shared" si="12"/>
        <v>19055.099999999999</v>
      </c>
      <c r="O42" s="178">
        <f t="shared" si="12"/>
        <v>15466</v>
      </c>
      <c r="P42" s="179">
        <f t="shared" si="12"/>
        <v>2644</v>
      </c>
      <c r="Q42" s="177">
        <f t="shared" si="12"/>
        <v>20391</v>
      </c>
      <c r="R42" s="177">
        <f t="shared" si="12"/>
        <v>1921.3</v>
      </c>
      <c r="S42" s="180">
        <f t="shared" si="12"/>
        <v>1577.4</v>
      </c>
      <c r="T42" s="179">
        <f t="shared" si="12"/>
        <v>38449</v>
      </c>
      <c r="U42" s="181">
        <f t="shared" si="12"/>
        <v>217507.1</v>
      </c>
      <c r="V42" s="181">
        <f t="shared" si="12"/>
        <v>14584.7</v>
      </c>
      <c r="W42" s="182">
        <f t="shared" si="12"/>
        <v>10871.6</v>
      </c>
      <c r="X42" s="179">
        <f t="shared" si="12"/>
        <v>2678</v>
      </c>
      <c r="Y42" s="181">
        <f t="shared" si="12"/>
        <v>21193.3</v>
      </c>
      <c r="Z42" s="181">
        <f t="shared" si="12"/>
        <v>1412.3</v>
      </c>
      <c r="AA42" s="183">
        <f t="shared" si="12"/>
        <v>1055.2</v>
      </c>
    </row>
    <row r="43" spans="1:28" ht="15" customHeight="1">
      <c r="A43" s="174"/>
      <c r="B43" s="174"/>
      <c r="C43" s="174"/>
      <c r="D43" s="174"/>
      <c r="E43" s="174"/>
      <c r="F43" s="174"/>
      <c r="G43" s="174"/>
      <c r="H43" s="174"/>
      <c r="I43" s="174"/>
      <c r="K43" s="175">
        <v>2057</v>
      </c>
      <c r="L43" s="179">
        <f t="shared" si="13"/>
        <v>38026</v>
      </c>
      <c r="M43" s="177">
        <f t="shared" si="12"/>
        <v>209848.5</v>
      </c>
      <c r="N43" s="177">
        <f t="shared" si="12"/>
        <v>19055.099999999999</v>
      </c>
      <c r="O43" s="178">
        <f t="shared" si="12"/>
        <v>15466</v>
      </c>
      <c r="P43" s="179">
        <f t="shared" si="12"/>
        <v>2644</v>
      </c>
      <c r="Q43" s="177">
        <f t="shared" si="12"/>
        <v>20391</v>
      </c>
      <c r="R43" s="177">
        <f t="shared" si="12"/>
        <v>1921.3</v>
      </c>
      <c r="S43" s="180">
        <f t="shared" si="12"/>
        <v>1577.4</v>
      </c>
      <c r="T43" s="179">
        <f t="shared" si="12"/>
        <v>38449</v>
      </c>
      <c r="U43" s="181">
        <f t="shared" si="12"/>
        <v>217507.1</v>
      </c>
      <c r="V43" s="181">
        <f t="shared" si="12"/>
        <v>14584.7</v>
      </c>
      <c r="W43" s="182">
        <f t="shared" si="12"/>
        <v>10871.6</v>
      </c>
      <c r="X43" s="179">
        <f t="shared" si="12"/>
        <v>2678</v>
      </c>
      <c r="Y43" s="181">
        <f t="shared" si="12"/>
        <v>21193.3</v>
      </c>
      <c r="Z43" s="181">
        <f t="shared" si="12"/>
        <v>1412.3</v>
      </c>
      <c r="AA43" s="183">
        <f t="shared" si="12"/>
        <v>1055.2</v>
      </c>
    </row>
    <row r="44" spans="1:28" ht="15" customHeight="1">
      <c r="A44" s="174"/>
      <c r="B44" s="174"/>
      <c r="C44" s="174"/>
      <c r="D44" s="174"/>
      <c r="E44" s="174"/>
      <c r="F44" s="174"/>
      <c r="G44" s="174"/>
      <c r="H44" s="174"/>
      <c r="I44" s="174"/>
      <c r="K44" s="175">
        <v>2058</v>
      </c>
      <c r="L44" s="179">
        <f t="shared" si="13"/>
        <v>38026</v>
      </c>
      <c r="M44" s="177">
        <f t="shared" si="12"/>
        <v>209848.5</v>
      </c>
      <c r="N44" s="177">
        <f t="shared" si="12"/>
        <v>19055.099999999999</v>
      </c>
      <c r="O44" s="178">
        <f t="shared" si="12"/>
        <v>15466</v>
      </c>
      <c r="P44" s="179">
        <f t="shared" si="12"/>
        <v>2644</v>
      </c>
      <c r="Q44" s="177">
        <f t="shared" si="12"/>
        <v>20391</v>
      </c>
      <c r="R44" s="177">
        <f t="shared" si="12"/>
        <v>1921.3</v>
      </c>
      <c r="S44" s="180">
        <f t="shared" si="12"/>
        <v>1577.4</v>
      </c>
      <c r="T44" s="179">
        <f t="shared" si="12"/>
        <v>38449</v>
      </c>
      <c r="U44" s="181">
        <f t="shared" si="12"/>
        <v>217507.1</v>
      </c>
      <c r="V44" s="181">
        <f t="shared" si="12"/>
        <v>14584.7</v>
      </c>
      <c r="W44" s="182">
        <f t="shared" si="12"/>
        <v>10871.6</v>
      </c>
      <c r="X44" s="179">
        <f t="shared" si="12"/>
        <v>2678</v>
      </c>
      <c r="Y44" s="181">
        <f t="shared" si="12"/>
        <v>21193.3</v>
      </c>
      <c r="Z44" s="181">
        <f t="shared" si="12"/>
        <v>1412.3</v>
      </c>
      <c r="AA44" s="183">
        <f t="shared" si="12"/>
        <v>1055.2</v>
      </c>
    </row>
    <row r="45" spans="1:28" ht="15" customHeight="1">
      <c r="A45" s="174"/>
      <c r="B45" s="174"/>
      <c r="C45" s="174" t="s">
        <v>236</v>
      </c>
      <c r="D45" s="174" t="s">
        <v>235</v>
      </c>
      <c r="E45" s="174" t="s">
        <v>237</v>
      </c>
      <c r="F45" s="174" t="s">
        <v>481</v>
      </c>
      <c r="G45" s="174"/>
      <c r="H45" s="174"/>
      <c r="I45" s="174"/>
      <c r="K45" s="175">
        <v>2059</v>
      </c>
      <c r="L45" s="179">
        <f t="shared" si="13"/>
        <v>38026</v>
      </c>
      <c r="M45" s="177">
        <f t="shared" si="12"/>
        <v>209848.5</v>
      </c>
      <c r="N45" s="177">
        <f t="shared" si="12"/>
        <v>19055.099999999999</v>
      </c>
      <c r="O45" s="178">
        <f t="shared" si="12"/>
        <v>15466</v>
      </c>
      <c r="P45" s="179">
        <f t="shared" si="12"/>
        <v>2644</v>
      </c>
      <c r="Q45" s="177">
        <f t="shared" si="12"/>
        <v>20391</v>
      </c>
      <c r="R45" s="177">
        <f t="shared" si="12"/>
        <v>1921.3</v>
      </c>
      <c r="S45" s="180">
        <f t="shared" si="12"/>
        <v>1577.4</v>
      </c>
      <c r="T45" s="179">
        <f t="shared" si="12"/>
        <v>38449</v>
      </c>
      <c r="U45" s="181">
        <f t="shared" si="12"/>
        <v>217507.1</v>
      </c>
      <c r="V45" s="181">
        <f t="shared" si="12"/>
        <v>14584.7</v>
      </c>
      <c r="W45" s="182">
        <f t="shared" si="12"/>
        <v>10871.6</v>
      </c>
      <c r="X45" s="179">
        <f t="shared" si="12"/>
        <v>2678</v>
      </c>
      <c r="Y45" s="181">
        <f t="shared" si="12"/>
        <v>21193.3</v>
      </c>
      <c r="Z45" s="181">
        <f t="shared" si="12"/>
        <v>1412.3</v>
      </c>
      <c r="AA45" s="183">
        <f t="shared" si="12"/>
        <v>1055.2</v>
      </c>
    </row>
    <row r="46" spans="1:28" ht="15" customHeight="1" thickBot="1">
      <c r="A46" s="174"/>
      <c r="B46" s="206">
        <v>2019</v>
      </c>
      <c r="C46" s="236">
        <f>D38</f>
        <v>24900</v>
      </c>
      <c r="D46" s="237">
        <f>C46-E46</f>
        <v>23552.91</v>
      </c>
      <c r="E46" s="237">
        <f>C46*Inputs!$B$13</f>
        <v>1347.0900000000001</v>
      </c>
      <c r="F46" s="248">
        <f>C46/$C$46</f>
        <v>1</v>
      </c>
      <c r="G46" s="174"/>
      <c r="H46" s="174"/>
      <c r="I46" s="174"/>
      <c r="K46" s="184">
        <v>2060</v>
      </c>
      <c r="L46" s="185">
        <f t="shared" si="13"/>
        <v>38026</v>
      </c>
      <c r="M46" s="186">
        <f t="shared" si="12"/>
        <v>209848.5</v>
      </c>
      <c r="N46" s="186">
        <f t="shared" si="12"/>
        <v>19055.099999999999</v>
      </c>
      <c r="O46" s="187">
        <f t="shared" si="12"/>
        <v>15466</v>
      </c>
      <c r="P46" s="185">
        <f t="shared" si="12"/>
        <v>2644</v>
      </c>
      <c r="Q46" s="186">
        <f t="shared" si="12"/>
        <v>20391</v>
      </c>
      <c r="R46" s="186">
        <f t="shared" si="12"/>
        <v>1921.3</v>
      </c>
      <c r="S46" s="188">
        <f t="shared" si="12"/>
        <v>1577.4</v>
      </c>
      <c r="T46" s="185">
        <f t="shared" si="12"/>
        <v>38449</v>
      </c>
      <c r="U46" s="189">
        <f t="shared" si="12"/>
        <v>217507.1</v>
      </c>
      <c r="V46" s="189">
        <f t="shared" si="12"/>
        <v>14584.7</v>
      </c>
      <c r="W46" s="190">
        <f t="shared" si="12"/>
        <v>10871.6</v>
      </c>
      <c r="X46" s="185">
        <f t="shared" si="12"/>
        <v>2678</v>
      </c>
      <c r="Y46" s="189">
        <f t="shared" si="12"/>
        <v>21193.3</v>
      </c>
      <c r="Z46" s="189">
        <f t="shared" si="12"/>
        <v>1412.3</v>
      </c>
      <c r="AA46" s="191">
        <f t="shared" si="12"/>
        <v>1055.2</v>
      </c>
      <c r="AB46" s="8"/>
    </row>
    <row r="47" spans="1:28" ht="15" customHeight="1">
      <c r="A47" s="174"/>
      <c r="B47" s="174">
        <v>2020</v>
      </c>
      <c r="C47" s="238">
        <f>C46*(1+$C$39)</f>
        <v>25198.681961379574</v>
      </c>
      <c r="D47" s="237">
        <f t="shared" ref="D47:D51" si="14">C47-E47</f>
        <v>23835.433267268938</v>
      </c>
      <c r="E47" s="237">
        <f>C47*Inputs!$B$13</f>
        <v>1363.2486941106349</v>
      </c>
      <c r="F47" s="248">
        <f t="shared" ref="F47:F87" si="15">C47/$C$46</f>
        <v>1.0119952594931556</v>
      </c>
      <c r="G47" s="174"/>
      <c r="H47" s="174"/>
      <c r="I47" s="174"/>
    </row>
    <row r="48" spans="1:28" ht="15" customHeight="1" thickBot="1">
      <c r="A48" s="174"/>
      <c r="B48" s="174">
        <v>2021</v>
      </c>
      <c r="C48" s="238">
        <f t="shared" ref="C48:C71" si="16">C47*(1+$C$39)</f>
        <v>25500.946690391822</v>
      </c>
      <c r="D48" s="237">
        <f t="shared" si="14"/>
        <v>24121.345474441623</v>
      </c>
      <c r="E48" s="237">
        <f>C48*Inputs!$B$13</f>
        <v>1379.6012159501977</v>
      </c>
      <c r="F48" s="248">
        <f t="shared" si="15"/>
        <v>1.0241344052366192</v>
      </c>
      <c r="G48" s="174"/>
      <c r="H48" s="174"/>
      <c r="I48" s="174"/>
    </row>
    <row r="49" spans="1:27" ht="15" customHeight="1" thickBot="1">
      <c r="A49" s="174"/>
      <c r="B49" s="174">
        <v>2022</v>
      </c>
      <c r="C49" s="238">
        <f t="shared" si="16"/>
        <v>25806.837163264201</v>
      </c>
      <c r="D49" s="237">
        <f t="shared" si="14"/>
        <v>24410.687272731608</v>
      </c>
      <c r="E49" s="237">
        <f>C49*Inputs!$B$13</f>
        <v>1396.1498905325934</v>
      </c>
      <c r="F49" s="248">
        <f t="shared" si="15"/>
        <v>1.0364191631833013</v>
      </c>
      <c r="G49" s="174"/>
      <c r="H49" s="174"/>
      <c r="I49" s="174"/>
      <c r="T49" s="667" t="s">
        <v>485</v>
      </c>
      <c r="U49" s="667"/>
      <c r="V49" s="667"/>
      <c r="W49" s="667"/>
      <c r="X49" s="667"/>
      <c r="Y49" s="667"/>
      <c r="Z49" s="667"/>
      <c r="AA49" s="667"/>
    </row>
    <row r="50" spans="1:27" ht="15" customHeight="1" thickBot="1">
      <c r="A50" s="174"/>
      <c r="B50" s="174">
        <v>2023</v>
      </c>
      <c r="C50" s="238">
        <f t="shared" si="16"/>
        <v>26116.396871735167</v>
      </c>
      <c r="D50" s="237">
        <f t="shared" si="14"/>
        <v>24703.499800974296</v>
      </c>
      <c r="E50" s="237">
        <f>C50*Inputs!$B$13</f>
        <v>1412.8970707608726</v>
      </c>
      <c r="F50" s="248">
        <f t="shared" si="15"/>
        <v>1.0488512799893641</v>
      </c>
      <c r="G50" s="174"/>
      <c r="H50" s="174"/>
      <c r="I50" s="174"/>
      <c r="S50" s="664" t="s">
        <v>0</v>
      </c>
      <c r="T50" s="668" t="s">
        <v>349</v>
      </c>
      <c r="U50" s="669"/>
      <c r="V50" s="669"/>
      <c r="W50" s="670"/>
      <c r="X50" s="668" t="s">
        <v>194</v>
      </c>
      <c r="Y50" s="671"/>
    </row>
    <row r="51" spans="1:27" ht="15" customHeight="1">
      <c r="A51" s="174"/>
      <c r="B51" s="174">
        <v>2024</v>
      </c>
      <c r="C51" s="238">
        <f t="shared" si="16"/>
        <v>26429.669829237868</v>
      </c>
      <c r="D51" s="237">
        <f t="shared" si="14"/>
        <v>24999.8246914761</v>
      </c>
      <c r="E51" s="237">
        <f>C51*Inputs!$B$13</f>
        <v>1429.8451377617687</v>
      </c>
      <c r="F51" s="248">
        <f t="shared" si="15"/>
        <v>1.061432523262565</v>
      </c>
      <c r="G51" s="174"/>
      <c r="H51" s="174"/>
      <c r="I51" s="174"/>
      <c r="S51" s="665"/>
      <c r="T51" s="639" t="s">
        <v>345</v>
      </c>
      <c r="U51" s="640" t="s">
        <v>345</v>
      </c>
      <c r="V51" s="640" t="s">
        <v>346</v>
      </c>
      <c r="W51" s="672" t="s">
        <v>351</v>
      </c>
      <c r="X51" s="639" t="s">
        <v>345</v>
      </c>
      <c r="Y51" s="641" t="s">
        <v>345</v>
      </c>
      <c r="Z51" s="164" t="s">
        <v>349</v>
      </c>
      <c r="AA51" s="165" t="s">
        <v>194</v>
      </c>
    </row>
    <row r="52" spans="1:27" ht="15" customHeight="1">
      <c r="A52" s="174"/>
      <c r="B52" s="174">
        <v>2025</v>
      </c>
      <c r="C52" s="238">
        <f t="shared" si="16"/>
        <v>26746.700577158001</v>
      </c>
      <c r="D52" s="237">
        <f>C52-E52</f>
        <v>25299.704075933754</v>
      </c>
      <c r="E52" s="237">
        <f>C52*Inputs!$B$13</f>
        <v>1446.9965012242478</v>
      </c>
      <c r="F52" s="248">
        <f t="shared" si="15"/>
        <v>1.0741646818135744</v>
      </c>
      <c r="G52" s="174"/>
      <c r="H52" s="174"/>
      <c r="I52" s="174"/>
      <c r="S52" s="665"/>
      <c r="T52" s="639"/>
      <c r="U52" s="640"/>
      <c r="V52" s="640"/>
      <c r="W52" s="671"/>
      <c r="X52" s="639"/>
      <c r="Y52" s="641"/>
      <c r="Z52" s="662" t="s">
        <v>358</v>
      </c>
      <c r="AA52" s="663"/>
    </row>
    <row r="53" spans="1:27" ht="15" customHeight="1" thickBot="1">
      <c r="A53" s="239"/>
      <c r="B53" s="174">
        <v>2026</v>
      </c>
      <c r="C53" s="238">
        <f t="shared" si="16"/>
        <v>27067.534191166746</v>
      </c>
      <c r="D53" s="237">
        <f t="shared" ref="D53:D87" si="17">C53-E53</f>
        <v>25603.180591424625</v>
      </c>
      <c r="E53" s="237">
        <f>C53*Inputs!$B$13</f>
        <v>1464.3535997421211</v>
      </c>
      <c r="F53" s="248">
        <f t="shared" si="15"/>
        <v>1.087049565910311</v>
      </c>
      <c r="G53" s="174"/>
      <c r="H53" s="174"/>
      <c r="I53" s="174"/>
      <c r="S53" s="666"/>
      <c r="T53" s="144" t="s">
        <v>347</v>
      </c>
      <c r="U53" s="145" t="s">
        <v>348</v>
      </c>
      <c r="V53" s="150" t="s">
        <v>350</v>
      </c>
      <c r="W53" s="151" t="s">
        <v>347</v>
      </c>
      <c r="X53" s="144" t="s">
        <v>347</v>
      </c>
      <c r="Y53" s="152" t="s">
        <v>348</v>
      </c>
      <c r="Z53" s="169" t="s">
        <v>357</v>
      </c>
      <c r="AA53" s="170" t="s">
        <v>357</v>
      </c>
    </row>
    <row r="54" spans="1:27" ht="15" customHeight="1">
      <c r="A54" s="174"/>
      <c r="B54" s="174">
        <v>2027</v>
      </c>
      <c r="C54" s="238">
        <f t="shared" si="16"/>
        <v>27392.216287629653</v>
      </c>
      <c r="D54" s="237">
        <f t="shared" si="17"/>
        <v>25910.29738646889</v>
      </c>
      <c r="E54" s="237">
        <f>C54*Inputs!$B$13</f>
        <v>1481.9189011607643</v>
      </c>
      <c r="F54" s="248">
        <f t="shared" si="15"/>
        <v>1.1000890075353273</v>
      </c>
      <c r="G54" s="174"/>
      <c r="H54" s="174"/>
      <c r="I54" s="174"/>
      <c r="S54" s="155">
        <v>2019</v>
      </c>
      <c r="T54" s="156" t="e">
        <f>(($N5/$L5)-($V5/$T5))</f>
        <v>#DIV/0!</v>
      </c>
      <c r="U54" s="157" t="e">
        <f>T54*60</f>
        <v>#DIV/0!</v>
      </c>
      <c r="V54" s="158">
        <f>Inputs!$B$35</f>
        <v>1.67</v>
      </c>
      <c r="W54" s="159" t="e">
        <f>T54*V54</f>
        <v>#DIV/0!</v>
      </c>
      <c r="X54" s="156" t="e">
        <f>(($R5/$P5)-($Z5/$X5))</f>
        <v>#DIV/0!</v>
      </c>
      <c r="Y54" s="159" t="e">
        <f>X54*60</f>
        <v>#DIV/0!</v>
      </c>
      <c r="Z54" s="167" t="e">
        <f>(($M5/$L5)-($U5/$T5))*AVERAGEA($T5,$L5)</f>
        <v>#DIV/0!</v>
      </c>
      <c r="AA54" s="168" t="e">
        <f>(($Q5/$P5)-($Y5/$X5))*AVERAGEA($X5,$P5)</f>
        <v>#DIV/0!</v>
      </c>
    </row>
    <row r="55" spans="1:27" ht="15" customHeight="1">
      <c r="A55" s="174"/>
      <c r="B55" s="174">
        <v>2028</v>
      </c>
      <c r="C55" s="238">
        <f t="shared" si="16"/>
        <v>27720.793030092416</v>
      </c>
      <c r="D55" s="237">
        <f t="shared" si="17"/>
        <v>26221.098127164416</v>
      </c>
      <c r="E55" s="237">
        <f>C55*Inputs!$B$13</f>
        <v>1499.6949029279997</v>
      </c>
      <c r="F55" s="248">
        <f t="shared" si="15"/>
        <v>1.1132848606462817</v>
      </c>
      <c r="G55" s="174"/>
      <c r="H55" s="174"/>
      <c r="I55" s="174"/>
      <c r="S55" s="160">
        <v>2020</v>
      </c>
      <c r="T55" s="161">
        <f t="shared" ref="T55:T95" si="18">(($N6/$L6)-($V6/$T6))</f>
        <v>3.2865403313429131E-2</v>
      </c>
      <c r="U55" s="162">
        <f t="shared" ref="U55:U80" si="19">T55*60</f>
        <v>1.9719241988057479</v>
      </c>
      <c r="V55" s="66">
        <f>Inputs!$B$35</f>
        <v>1.67</v>
      </c>
      <c r="W55" s="163">
        <f t="shared" ref="W55:W80" si="20">T55*V55</f>
        <v>5.4885223533426647E-2</v>
      </c>
      <c r="X55" s="161">
        <f t="shared" ref="X55:X95" si="21">(($R6/$P6)-($Z6/$X6))</f>
        <v>3.8286978167477337E-2</v>
      </c>
      <c r="Y55" s="163">
        <f t="shared" ref="Y55:Y80" si="22">X55*60</f>
        <v>2.2972186900486404</v>
      </c>
      <c r="Z55" s="166">
        <f t="shared" ref="Z55:Z95" si="23">(($M6/$L6)-($U6/$T6))*AVERAGEA($T6,$L6)</f>
        <v>61.348771094938769</v>
      </c>
      <c r="AA55" s="147">
        <f t="shared" ref="AA55:AA95" si="24">(($Q6/$P6)-($Y6/$X6))*AVERAGEA($X6,$P6)</f>
        <v>3.2233739675009057</v>
      </c>
    </row>
    <row r="56" spans="1:27" ht="15" customHeight="1">
      <c r="A56" s="174"/>
      <c r="B56" s="174">
        <v>2029</v>
      </c>
      <c r="C56" s="238">
        <f t="shared" si="16"/>
        <v>28053.311135844433</v>
      </c>
      <c r="D56" s="237">
        <f t="shared" si="17"/>
        <v>26535.62700339525</v>
      </c>
      <c r="E56" s="237">
        <f>C56*Inputs!$B$13</f>
        <v>1517.6841324491838</v>
      </c>
      <c r="F56" s="248">
        <f t="shared" si="15"/>
        <v>1.1266390014395355</v>
      </c>
      <c r="G56" s="174"/>
      <c r="H56" s="174"/>
      <c r="I56" s="174"/>
      <c r="S56" s="154">
        <f>S55+1</f>
        <v>2021</v>
      </c>
      <c r="T56" s="149">
        <f t="shared" si="18"/>
        <v>3.7421735479292284E-2</v>
      </c>
      <c r="U56" s="148">
        <f t="shared" si="19"/>
        <v>2.245304128757537</v>
      </c>
      <c r="V56" s="65">
        <f>Inputs!$B$35</f>
        <v>1.67</v>
      </c>
      <c r="W56" s="153">
        <f t="shared" si="20"/>
        <v>6.2494298250418114E-2</v>
      </c>
      <c r="X56" s="149">
        <f t="shared" si="21"/>
        <v>4.6257545004714407E-2</v>
      </c>
      <c r="Y56" s="153">
        <f t="shared" si="22"/>
        <v>2.7754527002828642</v>
      </c>
      <c r="Z56" s="166">
        <f t="shared" si="23"/>
        <v>-152.83909807490718</v>
      </c>
      <c r="AA56" s="147">
        <f t="shared" si="24"/>
        <v>-18.883716608986532</v>
      </c>
    </row>
    <row r="57" spans="1:27" ht="15" customHeight="1">
      <c r="A57" s="174"/>
      <c r="B57" s="174">
        <v>2030</v>
      </c>
      <c r="C57" s="238">
        <f t="shared" si="16"/>
        <v>28389.817882561118</v>
      </c>
      <c r="D57" s="237">
        <f t="shared" si="17"/>
        <v>26853.928735114561</v>
      </c>
      <c r="E57" s="237">
        <f>C57*Inputs!$B$13</f>
        <v>1535.8891474465565</v>
      </c>
      <c r="F57" s="248">
        <f t="shared" si="15"/>
        <v>1.1401533286169123</v>
      </c>
      <c r="G57" s="174"/>
      <c r="H57" s="174"/>
      <c r="I57" s="174"/>
      <c r="S57" s="154">
        <f>S56+1</f>
        <v>2022</v>
      </c>
      <c r="T57" s="149">
        <f t="shared" si="18"/>
        <v>4.1872975824538278E-2</v>
      </c>
      <c r="U57" s="148">
        <f t="shared" si="19"/>
        <v>2.5123785494722966</v>
      </c>
      <c r="V57" s="65">
        <f>Inputs!$B$35</f>
        <v>1.67</v>
      </c>
      <c r="W57" s="153">
        <f t="shared" si="20"/>
        <v>6.9927869626978917E-2</v>
      </c>
      <c r="X57" s="149">
        <f t="shared" si="21"/>
        <v>5.4073113237400272E-2</v>
      </c>
      <c r="Y57" s="153">
        <f t="shared" si="22"/>
        <v>3.2443867942440163</v>
      </c>
      <c r="Z57" s="166">
        <f t="shared" si="23"/>
        <v>-367.03344942438889</v>
      </c>
      <c r="AA57" s="147">
        <f t="shared" si="24"/>
        <v>-40.936291318674378</v>
      </c>
    </row>
    <row r="58" spans="1:27" ht="15" customHeight="1">
      <c r="A58" s="174"/>
      <c r="B58" s="174">
        <v>2031</v>
      </c>
      <c r="C58" s="238">
        <f t="shared" si="16"/>
        <v>28730.361115025869</v>
      </c>
      <c r="D58" s="237">
        <f t="shared" si="17"/>
        <v>27176.048578702968</v>
      </c>
      <c r="E58" s="237">
        <f>C58*Inputs!$B$13</f>
        <v>1554.3125363228996</v>
      </c>
      <c r="F58" s="248">
        <f t="shared" si="15"/>
        <v>1.1538297636556574</v>
      </c>
      <c r="G58" s="174"/>
      <c r="H58" s="174"/>
      <c r="I58" s="174"/>
      <c r="S58" s="154">
        <f t="shared" ref="S58:S59" si="25">S57+1</f>
        <v>2023</v>
      </c>
      <c r="T58" s="149">
        <f t="shared" si="18"/>
        <v>4.6222652000416142E-2</v>
      </c>
      <c r="U58" s="148">
        <f t="shared" si="19"/>
        <v>2.7733591200249688</v>
      </c>
      <c r="V58" s="65">
        <f>Inputs!$B$35</f>
        <v>1.67</v>
      </c>
      <c r="W58" s="153">
        <f t="shared" si="20"/>
        <v>7.7191828840694948E-2</v>
      </c>
      <c r="X58" s="149">
        <f t="shared" si="21"/>
        <v>6.1737945914803416E-2</v>
      </c>
      <c r="Y58" s="153">
        <f t="shared" si="22"/>
        <v>3.704276754888205</v>
      </c>
      <c r="Z58" s="166">
        <f t="shared" si="23"/>
        <v>-581.23411918449744</v>
      </c>
      <c r="AA58" s="147">
        <f t="shared" si="24"/>
        <v>-62.936304322601856</v>
      </c>
    </row>
    <row r="59" spans="1:27" ht="15" customHeight="1">
      <c r="A59" s="174"/>
      <c r="B59" s="174">
        <v>2032</v>
      </c>
      <c r="C59" s="238">
        <f t="shared" si="16"/>
        <v>29074.989251932671</v>
      </c>
      <c r="D59" s="237">
        <f t="shared" si="17"/>
        <v>27502.032333403113</v>
      </c>
      <c r="E59" s="237">
        <f>C59*Inputs!$B$13</f>
        <v>1572.9569185295577</v>
      </c>
      <c r="F59" s="248">
        <f t="shared" si="15"/>
        <v>1.1676702510816335</v>
      </c>
      <c r="G59" s="174"/>
      <c r="H59" s="174"/>
      <c r="I59" s="174"/>
      <c r="S59" s="154">
        <f t="shared" si="25"/>
        <v>2024</v>
      </c>
      <c r="T59" s="149">
        <f t="shared" si="18"/>
        <v>5.047413932266287E-2</v>
      </c>
      <c r="U59" s="148">
        <f t="shared" si="19"/>
        <v>3.0284483593597722</v>
      </c>
      <c r="V59" s="65">
        <f>Inputs!$B$35</f>
        <v>1.67</v>
      </c>
      <c r="W59" s="153">
        <f t="shared" si="20"/>
        <v>8.4291812668846985E-2</v>
      </c>
      <c r="X59" s="149">
        <f t="shared" si="21"/>
        <v>6.9256163140592908E-2</v>
      </c>
      <c r="Y59" s="153">
        <f t="shared" si="22"/>
        <v>4.1553697884355749</v>
      </c>
      <c r="Z59" s="166">
        <f t="shared" si="23"/>
        <v>-795.44094750238503</v>
      </c>
      <c r="AA59" s="147">
        <f t="shared" si="24"/>
        <v>-84.885617380920166</v>
      </c>
    </row>
    <row r="60" spans="1:27" ht="15" customHeight="1">
      <c r="A60" s="174"/>
      <c r="B60" s="174">
        <v>2033</v>
      </c>
      <c r="C60" s="238">
        <f t="shared" si="16"/>
        <v>29423.751292770314</v>
      </c>
      <c r="D60" s="237">
        <f t="shared" si="17"/>
        <v>27831.926347831439</v>
      </c>
      <c r="E60" s="237">
        <f>C60*Inputs!$B$13</f>
        <v>1591.8249449388741</v>
      </c>
      <c r="F60" s="248">
        <f t="shared" si="15"/>
        <v>1.1816767587457957</v>
      </c>
      <c r="G60" s="174"/>
      <c r="H60" s="174"/>
      <c r="I60" s="174"/>
      <c r="S60" s="160">
        <v>2025</v>
      </c>
      <c r="T60" s="161">
        <f t="shared" si="18"/>
        <v>5.4630668634777085E-2</v>
      </c>
      <c r="U60" s="162">
        <f t="shared" si="19"/>
        <v>3.2778401180866252</v>
      </c>
      <c r="V60" s="66">
        <f>Inputs!$B$35</f>
        <v>1.67</v>
      </c>
      <c r="W60" s="163">
        <f t="shared" si="20"/>
        <v>9.1233216620077731E-2</v>
      </c>
      <c r="X60" s="161">
        <f>(($R11/$P11)-($Z11/$X11))</f>
        <v>7.6631747149982721E-2</v>
      </c>
      <c r="Y60" s="163">
        <f t="shared" si="22"/>
        <v>4.5979048289989635</v>
      </c>
      <c r="Z60" s="166">
        <f t="shared" si="23"/>
        <v>-1009.6537784725144</v>
      </c>
      <c r="AA60" s="147">
        <f t="shared" si="24"/>
        <v>-106.78600525631174</v>
      </c>
    </row>
    <row r="61" spans="1:27" ht="15" customHeight="1">
      <c r="A61" s="174"/>
      <c r="B61" s="174">
        <v>2034</v>
      </c>
      <c r="C61" s="238">
        <f t="shared" si="16"/>
        <v>29776.696824789167</v>
      </c>
      <c r="D61" s="237">
        <f t="shared" si="17"/>
        <v>28165.777526568072</v>
      </c>
      <c r="E61" s="237">
        <f>C61*Inputs!$B$13</f>
        <v>1610.9192982210941</v>
      </c>
      <c r="F61" s="248">
        <f t="shared" si="15"/>
        <v>1.1958512781039827</v>
      </c>
      <c r="G61" s="174"/>
      <c r="H61" s="174"/>
      <c r="I61" s="174"/>
      <c r="S61" s="154">
        <f>S60+1</f>
        <v>2026</v>
      </c>
      <c r="T61" s="149">
        <f t="shared" si="18"/>
        <v>5.869533371277319E-2</v>
      </c>
      <c r="U61" s="148">
        <f t="shared" si="19"/>
        <v>3.5217200227663916</v>
      </c>
      <c r="V61" s="65">
        <f>Inputs!$B$35</f>
        <v>1.67</v>
      </c>
      <c r="W61" s="153">
        <f t="shared" si="20"/>
        <v>9.8021207300331217E-2</v>
      </c>
      <c r="X61" s="149">
        <f t="shared" si="21"/>
        <v>8.3868547252145986E-2</v>
      </c>
      <c r="Y61" s="153">
        <f t="shared" si="22"/>
        <v>5.0321128351287587</v>
      </c>
      <c r="Z61" s="166">
        <f t="shared" si="23"/>
        <v>-1223.8724601457182</v>
      </c>
      <c r="AA61" s="147">
        <f t="shared" si="24"/>
        <v>-128.63916074224045</v>
      </c>
    </row>
    <row r="62" spans="1:27" ht="15" customHeight="1">
      <c r="A62" s="174"/>
      <c r="B62" s="174">
        <v>2035</v>
      </c>
      <c r="C62" s="238">
        <f t="shared" si="16"/>
        <v>30133.876030051535</v>
      </c>
      <c r="D62" s="237">
        <f t="shared" si="17"/>
        <v>28503.633336825747</v>
      </c>
      <c r="E62" s="237">
        <f>C62*Inputs!$B$13</f>
        <v>1630.2426932257881</v>
      </c>
      <c r="F62" s="248">
        <f t="shared" si="15"/>
        <v>1.2101958245000617</v>
      </c>
      <c r="G62" s="174"/>
      <c r="H62" s="174"/>
      <c r="I62" s="174"/>
      <c r="S62" s="154">
        <f>S61+1</f>
        <v>2027</v>
      </c>
      <c r="T62" s="149">
        <f t="shared" si="18"/>
        <v>6.2671098239881123E-2</v>
      </c>
      <c r="U62" s="148">
        <f t="shared" si="19"/>
        <v>3.7602658943928673</v>
      </c>
      <c r="V62" s="65">
        <f>Inputs!$B$35</f>
        <v>1.67</v>
      </c>
      <c r="W62" s="153">
        <f t="shared" si="20"/>
        <v>0.10466073406060147</v>
      </c>
      <c r="X62" s="149">
        <f t="shared" si="21"/>
        <v>9.0970284632039655E-2</v>
      </c>
      <c r="Y62" s="153">
        <f t="shared" si="22"/>
        <v>5.4582170779223791</v>
      </c>
      <c r="Z62" s="166">
        <f t="shared" si="23"/>
        <v>-1438.0968445181682</v>
      </c>
      <c r="AA62" s="147">
        <f t="shared" si="24"/>
        <v>-150.44669934614143</v>
      </c>
    </row>
    <row r="63" spans="1:27">
      <c r="A63" s="239"/>
      <c r="B63" s="174">
        <v>2036</v>
      </c>
      <c r="C63" s="238">
        <f t="shared" si="16"/>
        <v>30495.339692566584</v>
      </c>
      <c r="D63" s="237">
        <f t="shared" si="17"/>
        <v>28845.541815198732</v>
      </c>
      <c r="E63" s="237">
        <f>C63*Inputs!$B$13</f>
        <v>1649.7978773678522</v>
      </c>
      <c r="F63" s="248">
        <f t="shared" si="15"/>
        <v>1.2247124374524732</v>
      </c>
      <c r="G63" s="174"/>
      <c r="H63" s="174"/>
      <c r="I63" s="174"/>
      <c r="S63" s="154">
        <f t="shared" ref="S63:S64" si="26">S62+1</f>
        <v>2028</v>
      </c>
      <c r="T63" s="149">
        <f t="shared" si="18"/>
        <v>6.6560802377942124E-2</v>
      </c>
      <c r="U63" s="148">
        <f t="shared" si="19"/>
        <v>3.9936481426765273</v>
      </c>
      <c r="V63" s="65">
        <f>Inputs!$B$35</f>
        <v>1.67</v>
      </c>
      <c r="W63" s="153">
        <f t="shared" si="20"/>
        <v>0.11115653997116334</v>
      </c>
      <c r="X63" s="149">
        <f t="shared" si="21"/>
        <v>9.7940557007746953E-2</v>
      </c>
      <c r="Y63" s="153">
        <f t="shared" si="22"/>
        <v>5.8764334204648172</v>
      </c>
      <c r="Z63" s="166">
        <f t="shared" si="23"/>
        <v>-1652.3267875047336</v>
      </c>
      <c r="AA63" s="147">
        <f t="shared" si="24"/>
        <v>-172.21016365474992</v>
      </c>
    </row>
    <row r="64" spans="1:27">
      <c r="A64" s="174"/>
      <c r="B64" s="174">
        <v>2037</v>
      </c>
      <c r="C64" s="238">
        <f t="shared" si="16"/>
        <v>30861.139205510848</v>
      </c>
      <c r="D64" s="237">
        <f t="shared" si="17"/>
        <v>29191.551574492711</v>
      </c>
      <c r="E64" s="237">
        <f>C64*Inputs!$B$13</f>
        <v>1669.587631018137</v>
      </c>
      <c r="F64" s="248">
        <f t="shared" si="15"/>
        <v>1.2394031809442108</v>
      </c>
      <c r="G64" s="174"/>
      <c r="H64" s="174"/>
      <c r="I64" s="174"/>
      <c r="S64" s="154">
        <f t="shared" si="26"/>
        <v>2029</v>
      </c>
      <c r="T64" s="149">
        <f t="shared" si="18"/>
        <v>7.036716896062839E-2</v>
      </c>
      <c r="U64" s="148">
        <f t="shared" si="19"/>
        <v>4.2220301376377032</v>
      </c>
      <c r="V64" s="65">
        <f>Inputs!$B$35</f>
        <v>1.67</v>
      </c>
      <c r="W64" s="153">
        <f t="shared" si="20"/>
        <v>0.1175131721642494</v>
      </c>
      <c r="X64" s="149">
        <f t="shared" si="21"/>
        <v>0.1047828431410851</v>
      </c>
      <c r="Y64" s="153">
        <f t="shared" si="22"/>
        <v>6.2869705884651061</v>
      </c>
      <c r="Z64" s="166">
        <f t="shared" si="23"/>
        <v>-1866.5621488989841</v>
      </c>
      <c r="AA64" s="147">
        <f t="shared" si="24"/>
        <v>-193.93102740666015</v>
      </c>
    </row>
    <row r="65" spans="1:27">
      <c r="A65" s="174"/>
      <c r="B65" s="174">
        <v>2038</v>
      </c>
      <c r="C65" s="238">
        <f t="shared" si="16"/>
        <v>31231.326578535351</v>
      </c>
      <c r="D65" s="237">
        <f t="shared" si="17"/>
        <v>29541.711810636589</v>
      </c>
      <c r="E65" s="237">
        <f>C65*Inputs!$B$13</f>
        <v>1689.6147678987625</v>
      </c>
      <c r="F65" s="248">
        <f t="shared" si="15"/>
        <v>1.2542701437162791</v>
      </c>
      <c r="G65" s="174"/>
      <c r="H65" s="174"/>
      <c r="I65" s="174"/>
      <c r="S65" s="160">
        <v>2030</v>
      </c>
      <c r="T65" s="161">
        <f t="shared" si="18"/>
        <v>7.4092809332047815E-2</v>
      </c>
      <c r="U65" s="162">
        <f t="shared" si="19"/>
        <v>4.4455685599228687</v>
      </c>
      <c r="V65" s="66">
        <f>Inputs!$B$35</f>
        <v>1.67</v>
      </c>
      <c r="W65" s="163">
        <f t="shared" si="20"/>
        <v>0.12373499158451985</v>
      </c>
      <c r="X65" s="161">
        <f t="shared" si="21"/>
        <v>0.11150050720056637</v>
      </c>
      <c r="Y65" s="163">
        <f t="shared" si="22"/>
        <v>6.6900304320339821</v>
      </c>
      <c r="Z65" s="166">
        <f t="shared" si="23"/>
        <v>-2080.8027923221989</v>
      </c>
      <c r="AA65" s="147">
        <f t="shared" si="24"/>
        <v>-215.61069929465711</v>
      </c>
    </row>
    <row r="66" spans="1:27">
      <c r="A66" s="174"/>
      <c r="B66" s="174">
        <v>2039</v>
      </c>
      <c r="C66" s="238">
        <f t="shared" si="16"/>
        <v>31605.954445160369</v>
      </c>
      <c r="D66" s="237">
        <f t="shared" si="17"/>
        <v>29896.072309677194</v>
      </c>
      <c r="E66" s="237">
        <f>C66*Inputs!$B$13</f>
        <v>1709.8821354831759</v>
      </c>
      <c r="F66" s="248">
        <f t="shared" si="15"/>
        <v>1.2693154395646735</v>
      </c>
      <c r="G66" s="174"/>
      <c r="H66" s="174"/>
      <c r="I66" s="174"/>
      <c r="S66" s="154">
        <f>S65+1</f>
        <v>2031</v>
      </c>
      <c r="T66" s="149">
        <f t="shared" si="18"/>
        <v>7.7740228852819226E-2</v>
      </c>
      <c r="U66" s="148">
        <f t="shared" si="19"/>
        <v>4.6644137311691534</v>
      </c>
      <c r="V66" s="65">
        <f>Inputs!$B$35</f>
        <v>1.67</v>
      </c>
      <c r="W66" s="153">
        <f t="shared" si="20"/>
        <v>0.12982618218420811</v>
      </c>
      <c r="X66" s="149">
        <f t="shared" si="21"/>
        <v>0.11809680297691438</v>
      </c>
      <c r="Y66" s="153">
        <f t="shared" si="22"/>
        <v>7.0858081786148635</v>
      </c>
      <c r="Z66" s="166">
        <f t="shared" si="23"/>
        <v>-2295.0485851631811</v>
      </c>
      <c r="AA66" s="147">
        <f t="shared" si="24"/>
        <v>-237.25052651861742</v>
      </c>
    </row>
    <row r="67" spans="1:27">
      <c r="A67" s="174"/>
      <c r="B67" s="174">
        <v>2040</v>
      </c>
      <c r="C67" s="238">
        <f t="shared" si="16"/>
        <v>31985.076070258921</v>
      </c>
      <c r="D67" s="237">
        <f t="shared" si="17"/>
        <v>30254.683454857914</v>
      </c>
      <c r="E67" s="237">
        <f>C67*Inputs!$B$13</f>
        <v>1730.3926154010078</v>
      </c>
      <c r="F67" s="248">
        <f t="shared" si="15"/>
        <v>1.2845412076409206</v>
      </c>
      <c r="G67" s="174"/>
      <c r="H67" s="174"/>
      <c r="I67" s="174"/>
      <c r="S67" s="154">
        <f>S66+1</f>
        <v>2032</v>
      </c>
      <c r="T67" s="149">
        <f t="shared" si="18"/>
        <v>8.1311832094299819E-2</v>
      </c>
      <c r="U67" s="148">
        <f t="shared" si="19"/>
        <v>4.8787099256579891</v>
      </c>
      <c r="V67" s="65">
        <f>Inputs!$B$35</f>
        <v>1.67</v>
      </c>
      <c r="W67" s="153">
        <f t="shared" si="20"/>
        <v>0.13579075959748069</v>
      </c>
      <c r="X67" s="149">
        <f t="shared" si="21"/>
        <v>0.12457487795223648</v>
      </c>
      <c r="Y67" s="153">
        <f t="shared" si="22"/>
        <v>7.4744926771341893</v>
      </c>
      <c r="Z67" s="166">
        <f t="shared" si="23"/>
        <v>-2509.2993985114636</v>
      </c>
      <c r="AA67" s="147">
        <f t="shared" si="24"/>
        <v>-258.85179810777782</v>
      </c>
    </row>
    <row r="68" spans="1:27">
      <c r="A68" s="174"/>
      <c r="B68" s="174">
        <v>2041</v>
      </c>
      <c r="C68" s="238">
        <f t="shared" si="16"/>
        <v>32368.745357629999</v>
      </c>
      <c r="D68" s="237">
        <f t="shared" si="17"/>
        <v>30617.596233782217</v>
      </c>
      <c r="E68" s="237">
        <f>C68*Inputs!$B$13</f>
        <v>1751.1491238477831</v>
      </c>
      <c r="F68" s="248">
        <f t="shared" si="15"/>
        <v>1.2999496127562249</v>
      </c>
      <c r="G68" s="174"/>
      <c r="H68" s="174"/>
      <c r="I68" s="174"/>
      <c r="S68" s="154">
        <f t="shared" ref="S68:S69" si="27">S67+1</f>
        <v>2033</v>
      </c>
      <c r="T68" s="149">
        <f t="shared" si="18"/>
        <v>8.4809927740324365E-2</v>
      </c>
      <c r="U68" s="148">
        <f t="shared" si="19"/>
        <v>5.0885956644194614</v>
      </c>
      <c r="V68" s="65">
        <f>Inputs!$B$35</f>
        <v>1.67</v>
      </c>
      <c r="W68" s="153">
        <f t="shared" si="20"/>
        <v>0.14163257932634168</v>
      </c>
      <c r="X68" s="149">
        <f t="shared" si="21"/>
        <v>0.13093777722468652</v>
      </c>
      <c r="Y68" s="153">
        <f t="shared" si="22"/>
        <v>7.8562666334811917</v>
      </c>
      <c r="Z68" s="166">
        <f t="shared" si="23"/>
        <v>-2723.5551070843226</v>
      </c>
      <c r="AA68" s="147">
        <f t="shared" si="24"/>
        <v>-280.41574802975822</v>
      </c>
    </row>
    <row r="69" spans="1:27">
      <c r="A69" s="174"/>
      <c r="B69" s="174">
        <v>2042</v>
      </c>
      <c r="C69" s="238">
        <f t="shared" si="16"/>
        <v>32757.016857662646</v>
      </c>
      <c r="D69" s="237">
        <f t="shared" si="17"/>
        <v>30984.862245663098</v>
      </c>
      <c r="E69" s="237">
        <f>C69*Inputs!$B$13</f>
        <v>1772.1546119995492</v>
      </c>
      <c r="F69" s="248">
        <f t="shared" si="15"/>
        <v>1.3155428456892628</v>
      </c>
      <c r="G69" s="174"/>
      <c r="H69" s="174"/>
      <c r="I69" s="174"/>
      <c r="S69" s="154">
        <f t="shared" si="27"/>
        <v>2034</v>
      </c>
      <c r="T69" s="149">
        <f t="shared" si="18"/>
        <v>8.8236733214569596E-2</v>
      </c>
      <c r="U69" s="148">
        <f t="shared" si="19"/>
        <v>5.2942039928741753</v>
      </c>
      <c r="V69" s="65">
        <f>Inputs!$B$35</f>
        <v>1.67</v>
      </c>
      <c r="W69" s="153">
        <f t="shared" si="20"/>
        <v>0.14735534446833121</v>
      </c>
      <c r="X69" s="149">
        <f t="shared" si="21"/>
        <v>0.13718844729103746</v>
      </c>
      <c r="Y69" s="153">
        <f t="shared" si="22"/>
        <v>8.2313068374622471</v>
      </c>
      <c r="Z69" s="166">
        <f t="shared" si="23"/>
        <v>-2937.8155891495376</v>
      </c>
      <c r="AA69" s="147">
        <f t="shared" si="24"/>
        <v>-301.94355810216553</v>
      </c>
    </row>
    <row r="70" spans="1:27">
      <c r="A70" s="174"/>
      <c r="B70" s="174">
        <v>2043</v>
      </c>
      <c r="C70" s="238">
        <f t="shared" si="16"/>
        <v>33149.945775091983</v>
      </c>
      <c r="D70" s="237">
        <f t="shared" si="17"/>
        <v>31356.533708659506</v>
      </c>
      <c r="E70" s="237">
        <f>C70*Inputs!$B$13</f>
        <v>1793.4120664324764</v>
      </c>
      <c r="F70" s="248">
        <f t="shared" si="15"/>
        <v>1.3313231234976699</v>
      </c>
      <c r="G70" s="174"/>
      <c r="H70" s="174"/>
      <c r="I70" s="174"/>
      <c r="S70" s="160">
        <v>2035</v>
      </c>
      <c r="T70" s="161">
        <f t="shared" si="18"/>
        <v>9.1594379050483232E-2</v>
      </c>
      <c r="U70" s="162">
        <f t="shared" si="19"/>
        <v>5.4956627430289942</v>
      </c>
      <c r="V70" s="66">
        <f>Inputs!$B$35</f>
        <v>1.67</v>
      </c>
      <c r="W70" s="163">
        <f t="shared" si="20"/>
        <v>0.152962613014307</v>
      </c>
      <c r="X70" s="161">
        <f t="shared" si="21"/>
        <v>0.14332973969004831</v>
      </c>
      <c r="Y70" s="163">
        <f t="shared" si="22"/>
        <v>8.5997843814028982</v>
      </c>
      <c r="Z70" s="166">
        <f t="shared" si="23"/>
        <v>-3152.0807264449536</v>
      </c>
      <c r="AA70" s="147">
        <f t="shared" si="24"/>
        <v>-323.43636072111099</v>
      </c>
    </row>
    <row r="71" spans="1:27">
      <c r="A71" s="174"/>
      <c r="B71" s="174">
        <v>2044</v>
      </c>
      <c r="C71" s="238">
        <f t="shared" si="16"/>
        <v>33547.587976848248</v>
      </c>
      <c r="D71" s="237">
        <f t="shared" si="17"/>
        <v>31732.663467300757</v>
      </c>
      <c r="E71" s="237">
        <f>C71*Inputs!$B$13</f>
        <v>1814.9245095474903</v>
      </c>
      <c r="F71" s="248">
        <f t="shared" si="15"/>
        <v>1.3472926898332629</v>
      </c>
      <c r="G71" s="174"/>
      <c r="H71" s="174"/>
      <c r="I71" s="174"/>
      <c r="S71" s="154">
        <f>S70+1</f>
        <v>2036</v>
      </c>
      <c r="T71" s="149">
        <f t="shared" si="18"/>
        <v>9.4884913019623818E-2</v>
      </c>
      <c r="U71" s="148">
        <f t="shared" si="19"/>
        <v>5.6930947811774288</v>
      </c>
      <c r="V71" s="65">
        <f>Inputs!$B$35</f>
        <v>1.67</v>
      </c>
      <c r="W71" s="153">
        <f t="shared" si="20"/>
        <v>0.15845780474277177</v>
      </c>
      <c r="X71" s="149">
        <f t="shared" si="21"/>
        <v>0.14936441450986881</v>
      </c>
      <c r="Y71" s="153">
        <f t="shared" si="22"/>
        <v>8.9618648705921284</v>
      </c>
      <c r="Z71" s="166">
        <f t="shared" si="23"/>
        <v>-3366.3504040946955</v>
      </c>
      <c r="AA71" s="147">
        <f t="shared" si="24"/>
        <v>-344.8952414201637</v>
      </c>
    </row>
    <row r="72" spans="1:27">
      <c r="A72" s="174"/>
      <c r="B72" s="206">
        <v>2045</v>
      </c>
      <c r="C72" s="236">
        <f>C71*(1+$C$39)</f>
        <v>33950.000000000007</v>
      </c>
      <c r="D72" s="237">
        <f t="shared" si="17"/>
        <v>32113.305000000008</v>
      </c>
      <c r="E72" s="237">
        <f>C72*Inputs!$B$13</f>
        <v>1836.6950000000004</v>
      </c>
      <c r="F72" s="248">
        <f t="shared" si="15"/>
        <v>1.3634538152610445</v>
      </c>
      <c r="G72" s="174"/>
      <c r="H72" s="174"/>
      <c r="I72" s="174"/>
      <c r="S72" s="154">
        <f>S71+1</f>
        <v>2037</v>
      </c>
      <c r="T72" s="149">
        <f t="shared" si="18"/>
        <v>9.8110304033218187E-2</v>
      </c>
      <c r="U72" s="148">
        <f t="shared" si="19"/>
        <v>5.8866182419930908</v>
      </c>
      <c r="V72" s="65">
        <f>Inputs!$B$35</f>
        <v>1.67</v>
      </c>
      <c r="W72" s="153">
        <f t="shared" si="20"/>
        <v>0.16384420773547437</v>
      </c>
      <c r="X72" s="149">
        <f t="shared" si="21"/>
        <v>0.15529514376300091</v>
      </c>
      <c r="Y72" s="153">
        <f t="shared" si="22"/>
        <v>9.317708625780055</v>
      </c>
      <c r="Z72" s="166">
        <f t="shared" si="23"/>
        <v>-3580.6245105254948</v>
      </c>
      <c r="AA72" s="147">
        <f t="shared" si="24"/>
        <v>-366.32124127171909</v>
      </c>
    </row>
    <row r="73" spans="1:27">
      <c r="A73" s="239"/>
      <c r="B73" s="174">
        <v>2046</v>
      </c>
      <c r="C73" s="238">
        <f>E38</f>
        <v>33950</v>
      </c>
      <c r="D73" s="237">
        <f t="shared" si="17"/>
        <v>32113.305</v>
      </c>
      <c r="E73" s="237">
        <f>C73*Inputs!$B$13</f>
        <v>1836.6950000000002</v>
      </c>
      <c r="F73" s="248">
        <f t="shared" si="15"/>
        <v>1.3634538152610443</v>
      </c>
      <c r="G73" s="174"/>
      <c r="H73" s="174"/>
      <c r="I73" s="174"/>
      <c r="S73" s="154">
        <f t="shared" ref="S73:S74" si="28">S72+1</f>
        <v>2038</v>
      </c>
      <c r="T73" s="149">
        <f t="shared" si="18"/>
        <v>0.10127244583078898</v>
      </c>
      <c r="U73" s="148">
        <f t="shared" si="19"/>
        <v>6.0763467498473389</v>
      </c>
      <c r="V73" s="65">
        <f>Inputs!$B$35</f>
        <v>1.67</v>
      </c>
      <c r="W73" s="153">
        <f t="shared" si="20"/>
        <v>0.16912498453741759</v>
      </c>
      <c r="X73" s="149">
        <f t="shared" si="21"/>
        <v>0.16112451463253624</v>
      </c>
      <c r="Y73" s="153">
        <f t="shared" si="22"/>
        <v>9.6674708779521747</v>
      </c>
      <c r="Z73" s="166">
        <f t="shared" si="23"/>
        <v>-3794.9029373800672</v>
      </c>
      <c r="AA73" s="147">
        <f t="shared" si="24"/>
        <v>-387.71535914212615</v>
      </c>
    </row>
    <row r="74" spans="1:27">
      <c r="A74" s="174"/>
      <c r="B74" s="174">
        <v>2047</v>
      </c>
      <c r="C74" s="238">
        <f>$C$73</f>
        <v>33950</v>
      </c>
      <c r="D74" s="237">
        <f t="shared" si="17"/>
        <v>32113.305</v>
      </c>
      <c r="E74" s="237">
        <f>C74*Inputs!$B$13</f>
        <v>1836.6950000000002</v>
      </c>
      <c r="F74" s="248">
        <f t="shared" si="15"/>
        <v>1.3634538152610443</v>
      </c>
      <c r="G74" s="174"/>
      <c r="H74" s="174"/>
      <c r="I74" s="174"/>
      <c r="S74" s="154">
        <f t="shared" si="28"/>
        <v>2039</v>
      </c>
      <c r="T74" s="149">
        <f t="shared" si="18"/>
        <v>0.10437316046879369</v>
      </c>
      <c r="U74" s="148">
        <f t="shared" si="19"/>
        <v>6.2623896281276217</v>
      </c>
      <c r="V74" s="65">
        <f>Inputs!$B$35</f>
        <v>1.67</v>
      </c>
      <c r="W74" s="153">
        <f t="shared" si="20"/>
        <v>0.17430317798288544</v>
      </c>
      <c r="X74" s="149">
        <f t="shared" si="21"/>
        <v>0.16685503259353207</v>
      </c>
      <c r="Y74" s="153">
        <f t="shared" si="22"/>
        <v>10.011301955611923</v>
      </c>
      <c r="Z74" s="166">
        <f t="shared" si="23"/>
        <v>-4009.1855794315165</v>
      </c>
      <c r="AA74" s="147">
        <f t="shared" si="24"/>
        <v>-409.07855381083112</v>
      </c>
    </row>
    <row r="75" spans="1:27">
      <c r="A75" s="174"/>
      <c r="B75" s="174">
        <v>2048</v>
      </c>
      <c r="C75" s="238">
        <f t="shared" ref="C75:C87" si="29">$C$73</f>
        <v>33950</v>
      </c>
      <c r="D75" s="237">
        <f t="shared" si="17"/>
        <v>32113.305</v>
      </c>
      <c r="E75" s="237">
        <f>C75*Inputs!$B$13</f>
        <v>1836.6950000000002</v>
      </c>
      <c r="F75" s="248">
        <f t="shared" si="15"/>
        <v>1.3634538152610443</v>
      </c>
      <c r="G75" s="174"/>
      <c r="H75" s="174"/>
      <c r="I75" s="174"/>
      <c r="S75" s="160">
        <v>2040</v>
      </c>
      <c r="T75" s="161">
        <f t="shared" si="18"/>
        <v>0.10741420162138116</v>
      </c>
      <c r="U75" s="162">
        <f t="shared" si="19"/>
        <v>6.4448520972828689</v>
      </c>
      <c r="V75" s="66">
        <f>Inputs!$B$35</f>
        <v>1.67</v>
      </c>
      <c r="W75" s="163">
        <f t="shared" si="20"/>
        <v>0.17938171670770653</v>
      </c>
      <c r="X75" s="161">
        <f t="shared" si="21"/>
        <v>0.17248912441347686</v>
      </c>
      <c r="Y75" s="163">
        <f t="shared" si="22"/>
        <v>10.349347464808611</v>
      </c>
      <c r="Z75" s="166">
        <f t="shared" si="23"/>
        <v>-4223.4723344966387</v>
      </c>
      <c r="AA75" s="147">
        <f t="shared" si="24"/>
        <v>-430.41174596296185</v>
      </c>
    </row>
    <row r="76" spans="1:27">
      <c r="A76" s="174"/>
      <c r="B76" s="174">
        <v>2049</v>
      </c>
      <c r="C76" s="238">
        <f t="shared" si="29"/>
        <v>33950</v>
      </c>
      <c r="D76" s="237">
        <f t="shared" si="17"/>
        <v>32113.305</v>
      </c>
      <c r="E76" s="237">
        <f>C76*Inputs!$B$13</f>
        <v>1836.6950000000002</v>
      </c>
      <c r="F76" s="248">
        <f t="shared" si="15"/>
        <v>1.3634538152610443</v>
      </c>
      <c r="G76" s="174"/>
      <c r="H76" s="174"/>
      <c r="I76" s="174"/>
      <c r="S76" s="154">
        <f>S75+1</f>
        <v>2041</v>
      </c>
      <c r="T76" s="149">
        <f t="shared" si="18"/>
        <v>0.11039725770457642</v>
      </c>
      <c r="U76" s="148">
        <f t="shared" si="19"/>
        <v>6.6238354622745854</v>
      </c>
      <c r="V76" s="65">
        <f>Inputs!$B$35</f>
        <v>1.67</v>
      </c>
      <c r="W76" s="153">
        <f t="shared" si="20"/>
        <v>0.18436342036664263</v>
      </c>
      <c r="X76" s="149">
        <f>(($R27/$P27)-($Z27/$X27))</f>
        <v>0.17802914103584339</v>
      </c>
      <c r="Y76" s="153">
        <f t="shared" si="22"/>
        <v>10.681748462150603</v>
      </c>
      <c r="Z76" s="166">
        <f t="shared" si="23"/>
        <v>-4437.7631033507778</v>
      </c>
      <c r="AA76" s="147">
        <f t="shared" si="24"/>
        <v>-451.71582006419203</v>
      </c>
    </row>
    <row r="77" spans="1:27">
      <c r="A77" s="174"/>
      <c r="B77" s="174">
        <v>2050</v>
      </c>
      <c r="C77" s="238">
        <f t="shared" si="29"/>
        <v>33950</v>
      </c>
      <c r="D77" s="237">
        <f t="shared" si="17"/>
        <v>32113.305</v>
      </c>
      <c r="E77" s="237">
        <f>C77*Inputs!$B$13</f>
        <v>1836.6950000000002</v>
      </c>
      <c r="F77" s="248">
        <f t="shared" si="15"/>
        <v>1.3634538152610443</v>
      </c>
      <c r="G77" s="174"/>
      <c r="H77" s="174"/>
      <c r="I77" s="174"/>
      <c r="S77" s="154">
        <f>S76+1</f>
        <v>2042</v>
      </c>
      <c r="T77" s="149">
        <f t="shared" si="18"/>
        <v>0.1133239548344791</v>
      </c>
      <c r="U77" s="148">
        <f t="shared" si="19"/>
        <v>6.7994372900687461</v>
      </c>
      <c r="V77" s="65">
        <f>Inputs!$B$35</f>
        <v>1.67</v>
      </c>
      <c r="W77" s="153">
        <f t="shared" si="20"/>
        <v>0.1892510045735801</v>
      </c>
      <c r="X77" s="149">
        <f t="shared" si="21"/>
        <v>0.1834773603507458</v>
      </c>
      <c r="Y77" s="153">
        <f t="shared" si="22"/>
        <v>11.008641621044749</v>
      </c>
      <c r="Z77" s="166">
        <f t="shared" si="23"/>
        <v>-4652.0577896425584</v>
      </c>
      <c r="AA77" s="147">
        <f t="shared" si="24"/>
        <v>-472.99162612585292</v>
      </c>
    </row>
    <row r="78" spans="1:27">
      <c r="A78" s="174"/>
      <c r="B78" s="174">
        <v>2051</v>
      </c>
      <c r="C78" s="238">
        <f t="shared" si="29"/>
        <v>33950</v>
      </c>
      <c r="D78" s="237">
        <f t="shared" si="17"/>
        <v>32113.305</v>
      </c>
      <c r="E78" s="237">
        <f>C78*Inputs!$B$13</f>
        <v>1836.6950000000002</v>
      </c>
      <c r="F78" s="248">
        <f t="shared" si="15"/>
        <v>1.3634538152610443</v>
      </c>
      <c r="G78" s="174"/>
      <c r="H78" s="174"/>
      <c r="I78" s="174"/>
      <c r="S78" s="154">
        <f t="shared" ref="S78:S79" si="30">S77+1</f>
        <v>2043</v>
      </c>
      <c r="T78" s="149">
        <f t="shared" si="18"/>
        <v>0.11619585962936496</v>
      </c>
      <c r="U78" s="148">
        <f t="shared" si="19"/>
        <v>6.9717515777618981</v>
      </c>
      <c r="V78" s="65">
        <f>Inputs!$B$35</f>
        <v>1.67</v>
      </c>
      <c r="W78" s="153">
        <f t="shared" si="20"/>
        <v>0.19404708558103947</v>
      </c>
      <c r="X78" s="149">
        <f t="shared" si="21"/>
        <v>0.18883598985669747</v>
      </c>
      <c r="Y78" s="153">
        <f t="shared" si="22"/>
        <v>11.330159391401848</v>
      </c>
      <c r="Z78" s="166">
        <f t="shared" si="23"/>
        <v>-4866.3562998099915</v>
      </c>
      <c r="AA78" s="147">
        <f t="shared" si="24"/>
        <v>-494.23998136771502</v>
      </c>
    </row>
    <row r="79" spans="1:27">
      <c r="A79" s="174"/>
      <c r="B79" s="174">
        <v>2052</v>
      </c>
      <c r="C79" s="238">
        <f t="shared" si="29"/>
        <v>33950</v>
      </c>
      <c r="D79" s="237">
        <f t="shared" si="17"/>
        <v>32113.305</v>
      </c>
      <c r="E79" s="237">
        <f>C79*Inputs!$B$13</f>
        <v>1836.6950000000002</v>
      </c>
      <c r="F79" s="248">
        <f t="shared" si="15"/>
        <v>1.3634538152610443</v>
      </c>
      <c r="G79" s="174"/>
      <c r="H79" s="174"/>
      <c r="I79" s="174"/>
      <c r="S79" s="154">
        <f t="shared" si="30"/>
        <v>2044</v>
      </c>
      <c r="T79" s="149">
        <f t="shared" si="18"/>
        <v>0.11901448186494928</v>
      </c>
      <c r="U79" s="148">
        <f t="shared" si="19"/>
        <v>7.1408689118969573</v>
      </c>
      <c r="V79" s="65">
        <f>Inputs!$B$35</f>
        <v>1.67</v>
      </c>
      <c r="W79" s="153">
        <f t="shared" si="20"/>
        <v>0.19875418471446529</v>
      </c>
      <c r="X79" s="149">
        <f t="shared" si="21"/>
        <v>0.19410716921743221</v>
      </c>
      <c r="Y79" s="153">
        <f t="shared" si="22"/>
        <v>11.646430153045932</v>
      </c>
      <c r="Z79" s="166">
        <f t="shared" si="23"/>
        <v>-5080.6585429978377</v>
      </c>
      <c r="AA79" s="147">
        <f t="shared" si="24"/>
        <v>-515.46167178535904</v>
      </c>
    </row>
    <row r="80" spans="1:27">
      <c r="A80" s="174"/>
      <c r="B80" s="174">
        <v>2053</v>
      </c>
      <c r="C80" s="238">
        <f t="shared" si="29"/>
        <v>33950</v>
      </c>
      <c r="D80" s="237">
        <f t="shared" si="17"/>
        <v>32113.305</v>
      </c>
      <c r="E80" s="237">
        <f>C80*Inputs!$B$13</f>
        <v>1836.6950000000002</v>
      </c>
      <c r="F80" s="248">
        <f t="shared" si="15"/>
        <v>1.3634538152610443</v>
      </c>
      <c r="G80" s="174"/>
      <c r="H80" s="174"/>
      <c r="I80" s="174"/>
      <c r="S80" s="160">
        <v>2045</v>
      </c>
      <c r="T80" s="161">
        <f t="shared" si="18"/>
        <v>0.12178127699146568</v>
      </c>
      <c r="U80" s="162">
        <f t="shared" si="19"/>
        <v>7.3068766194879409</v>
      </c>
      <c r="V80" s="66">
        <f>Inputs!$B$35</f>
        <v>1.67</v>
      </c>
      <c r="W80" s="163">
        <f t="shared" si="20"/>
        <v>0.20337473257574767</v>
      </c>
      <c r="X80" s="161">
        <f t="shared" si="21"/>
        <v>0.19929297271768964</v>
      </c>
      <c r="Y80" s="163">
        <f t="shared" si="22"/>
        <v>11.957578363061378</v>
      </c>
      <c r="Z80" s="166">
        <f t="shared" si="23"/>
        <v>-5294.9644309763598</v>
      </c>
      <c r="AA80" s="147">
        <f t="shared" si="24"/>
        <v>-536.65745362843313</v>
      </c>
    </row>
    <row r="81" spans="1:27">
      <c r="A81" s="174"/>
      <c r="B81" s="174">
        <v>2054</v>
      </c>
      <c r="C81" s="238">
        <f t="shared" si="29"/>
        <v>33950</v>
      </c>
      <c r="D81" s="237">
        <f t="shared" si="17"/>
        <v>32113.305</v>
      </c>
      <c r="E81" s="237">
        <f>C81*Inputs!$B$13</f>
        <v>1836.6950000000002</v>
      </c>
      <c r="F81" s="248">
        <f t="shared" si="15"/>
        <v>1.3634538152610443</v>
      </c>
      <c r="G81" s="174"/>
      <c r="H81" s="174"/>
      <c r="I81" s="174"/>
      <c r="S81" s="175">
        <v>2046</v>
      </c>
      <c r="T81" s="192">
        <f t="shared" si="18"/>
        <v>0.12178127699146568</v>
      </c>
      <c r="U81" s="193">
        <f t="shared" ref="U81:W95" si="31">U$80</f>
        <v>7.3068766194879409</v>
      </c>
      <c r="V81" s="59">
        <f t="shared" si="31"/>
        <v>1.67</v>
      </c>
      <c r="W81" s="194">
        <f t="shared" si="31"/>
        <v>0.20337473257574767</v>
      </c>
      <c r="X81" s="192">
        <f t="shared" si="21"/>
        <v>0.19929297271768964</v>
      </c>
      <c r="Y81" s="194">
        <f t="shared" ref="Y81:Y95" si="32">Y$80</f>
        <v>11.957578363061378</v>
      </c>
      <c r="Z81" s="195">
        <f t="shared" si="23"/>
        <v>-5294.9644309763598</v>
      </c>
      <c r="AA81" s="196">
        <f t="shared" si="24"/>
        <v>-536.65745362843313</v>
      </c>
    </row>
    <row r="82" spans="1:27">
      <c r="A82" s="174"/>
      <c r="B82" s="174">
        <v>2055</v>
      </c>
      <c r="C82" s="238">
        <f t="shared" si="29"/>
        <v>33950</v>
      </c>
      <c r="D82" s="237">
        <f t="shared" si="17"/>
        <v>32113.305</v>
      </c>
      <c r="E82" s="237">
        <f>C82*Inputs!$B$13</f>
        <v>1836.6950000000002</v>
      </c>
      <c r="F82" s="248">
        <f t="shared" si="15"/>
        <v>1.3634538152610443</v>
      </c>
      <c r="G82" s="174"/>
      <c r="H82" s="174"/>
      <c r="I82" s="174"/>
      <c r="S82" s="175">
        <v>2047</v>
      </c>
      <c r="T82" s="192">
        <f t="shared" si="18"/>
        <v>0.12178127699146568</v>
      </c>
      <c r="U82" s="193">
        <f t="shared" si="31"/>
        <v>7.3068766194879409</v>
      </c>
      <c r="V82" s="59">
        <f t="shared" si="31"/>
        <v>1.67</v>
      </c>
      <c r="W82" s="194">
        <f t="shared" si="31"/>
        <v>0.20337473257574767</v>
      </c>
      <c r="X82" s="192">
        <f t="shared" si="21"/>
        <v>0.19929297271768964</v>
      </c>
      <c r="Y82" s="194">
        <f t="shared" si="32"/>
        <v>11.957578363061378</v>
      </c>
      <c r="Z82" s="195">
        <f t="shared" si="23"/>
        <v>-5294.9644309763598</v>
      </c>
      <c r="AA82" s="196">
        <f t="shared" si="24"/>
        <v>-536.65745362843313</v>
      </c>
    </row>
    <row r="83" spans="1:27">
      <c r="A83" s="174"/>
      <c r="B83" s="174">
        <v>2056</v>
      </c>
      <c r="C83" s="238">
        <f t="shared" si="29"/>
        <v>33950</v>
      </c>
      <c r="D83" s="237">
        <f t="shared" si="17"/>
        <v>32113.305</v>
      </c>
      <c r="E83" s="237">
        <f>C83*Inputs!$B$13</f>
        <v>1836.6950000000002</v>
      </c>
      <c r="F83" s="248">
        <f t="shared" si="15"/>
        <v>1.3634538152610443</v>
      </c>
      <c r="G83" s="174"/>
      <c r="H83" s="174"/>
      <c r="I83" s="174"/>
      <c r="S83" s="175">
        <v>2048</v>
      </c>
      <c r="T83" s="192">
        <f t="shared" si="18"/>
        <v>0.12178127699146568</v>
      </c>
      <c r="U83" s="193">
        <f t="shared" si="31"/>
        <v>7.3068766194879409</v>
      </c>
      <c r="V83" s="59">
        <f t="shared" si="31"/>
        <v>1.67</v>
      </c>
      <c r="W83" s="194">
        <f t="shared" si="31"/>
        <v>0.20337473257574767</v>
      </c>
      <c r="X83" s="192">
        <f t="shared" si="21"/>
        <v>0.19929297271768964</v>
      </c>
      <c r="Y83" s="194">
        <f t="shared" si="32"/>
        <v>11.957578363061378</v>
      </c>
      <c r="Z83" s="195">
        <f t="shared" si="23"/>
        <v>-5294.9644309763598</v>
      </c>
      <c r="AA83" s="196">
        <f t="shared" si="24"/>
        <v>-536.65745362843313</v>
      </c>
    </row>
    <row r="84" spans="1:27">
      <c r="A84" s="174"/>
      <c r="B84" s="174">
        <v>2057</v>
      </c>
      <c r="C84" s="238">
        <f t="shared" si="29"/>
        <v>33950</v>
      </c>
      <c r="D84" s="237">
        <f t="shared" si="17"/>
        <v>32113.305</v>
      </c>
      <c r="E84" s="237">
        <f>C84*Inputs!$B$13</f>
        <v>1836.6950000000002</v>
      </c>
      <c r="F84" s="248">
        <f t="shared" si="15"/>
        <v>1.3634538152610443</v>
      </c>
      <c r="G84" s="174"/>
      <c r="H84" s="174"/>
      <c r="I84" s="174"/>
      <c r="S84" s="175">
        <v>2049</v>
      </c>
      <c r="T84" s="192">
        <f t="shared" si="18"/>
        <v>0.12178127699146568</v>
      </c>
      <c r="U84" s="193">
        <f t="shared" si="31"/>
        <v>7.3068766194879409</v>
      </c>
      <c r="V84" s="59">
        <f t="shared" si="31"/>
        <v>1.67</v>
      </c>
      <c r="W84" s="194">
        <f t="shared" si="31"/>
        <v>0.20337473257574767</v>
      </c>
      <c r="X84" s="192">
        <f t="shared" si="21"/>
        <v>0.19929297271768964</v>
      </c>
      <c r="Y84" s="194">
        <f t="shared" si="32"/>
        <v>11.957578363061378</v>
      </c>
      <c r="Z84" s="195">
        <f t="shared" si="23"/>
        <v>-5294.9644309763598</v>
      </c>
      <c r="AA84" s="196">
        <f t="shared" si="24"/>
        <v>-536.65745362843313</v>
      </c>
    </row>
    <row r="85" spans="1:27">
      <c r="A85" s="174"/>
      <c r="B85" s="174">
        <v>2058</v>
      </c>
      <c r="C85" s="238">
        <f t="shared" si="29"/>
        <v>33950</v>
      </c>
      <c r="D85" s="237">
        <f t="shared" si="17"/>
        <v>32113.305</v>
      </c>
      <c r="E85" s="237">
        <f>C85*Inputs!$B$13</f>
        <v>1836.6950000000002</v>
      </c>
      <c r="F85" s="248">
        <f t="shared" si="15"/>
        <v>1.3634538152610443</v>
      </c>
      <c r="G85" s="174"/>
      <c r="H85" s="174"/>
      <c r="I85" s="174"/>
      <c r="S85" s="175">
        <v>2050</v>
      </c>
      <c r="T85" s="192">
        <f t="shared" si="18"/>
        <v>0.12178127699146568</v>
      </c>
      <c r="U85" s="193">
        <f t="shared" si="31"/>
        <v>7.3068766194879409</v>
      </c>
      <c r="V85" s="59">
        <f t="shared" si="31"/>
        <v>1.67</v>
      </c>
      <c r="W85" s="194">
        <f t="shared" si="31"/>
        <v>0.20337473257574767</v>
      </c>
      <c r="X85" s="192">
        <f t="shared" si="21"/>
        <v>0.19929297271768964</v>
      </c>
      <c r="Y85" s="194">
        <f t="shared" si="32"/>
        <v>11.957578363061378</v>
      </c>
      <c r="Z85" s="195">
        <f t="shared" si="23"/>
        <v>-5294.9644309763598</v>
      </c>
      <c r="AA85" s="196">
        <f t="shared" si="24"/>
        <v>-536.65745362843313</v>
      </c>
    </row>
    <row r="86" spans="1:27">
      <c r="A86" s="174"/>
      <c r="B86" s="174">
        <v>2059</v>
      </c>
      <c r="C86" s="238">
        <f t="shared" si="29"/>
        <v>33950</v>
      </c>
      <c r="D86" s="237">
        <f t="shared" si="17"/>
        <v>32113.305</v>
      </c>
      <c r="E86" s="237">
        <f>C86*Inputs!$B$13</f>
        <v>1836.6950000000002</v>
      </c>
      <c r="F86" s="248">
        <f t="shared" si="15"/>
        <v>1.3634538152610443</v>
      </c>
      <c r="G86" s="174"/>
      <c r="H86" s="174"/>
      <c r="I86" s="174"/>
      <c r="S86" s="175">
        <v>2051</v>
      </c>
      <c r="T86" s="192">
        <f t="shared" si="18"/>
        <v>0.12178127699146568</v>
      </c>
      <c r="U86" s="193">
        <f t="shared" si="31"/>
        <v>7.3068766194879409</v>
      </c>
      <c r="V86" s="59">
        <f t="shared" si="31"/>
        <v>1.67</v>
      </c>
      <c r="W86" s="194">
        <f t="shared" si="31"/>
        <v>0.20337473257574767</v>
      </c>
      <c r="X86" s="192">
        <f t="shared" si="21"/>
        <v>0.19929297271768964</v>
      </c>
      <c r="Y86" s="194">
        <f t="shared" si="32"/>
        <v>11.957578363061378</v>
      </c>
      <c r="Z86" s="195">
        <f t="shared" si="23"/>
        <v>-5294.9644309763598</v>
      </c>
      <c r="AA86" s="196">
        <f t="shared" si="24"/>
        <v>-536.65745362843313</v>
      </c>
    </row>
    <row r="87" spans="1:27">
      <c r="A87" s="174"/>
      <c r="B87" s="174">
        <v>2060</v>
      </c>
      <c r="C87" s="238">
        <f t="shared" si="29"/>
        <v>33950</v>
      </c>
      <c r="D87" s="237">
        <f t="shared" si="17"/>
        <v>32113.305</v>
      </c>
      <c r="E87" s="237">
        <f>C87*Inputs!$B$13</f>
        <v>1836.6950000000002</v>
      </c>
      <c r="F87" s="248">
        <f t="shared" si="15"/>
        <v>1.3634538152610443</v>
      </c>
      <c r="G87" s="174"/>
      <c r="H87" s="174"/>
      <c r="I87" s="174"/>
      <c r="S87" s="175">
        <v>2052</v>
      </c>
      <c r="T87" s="192">
        <f t="shared" si="18"/>
        <v>0.12178127699146568</v>
      </c>
      <c r="U87" s="193">
        <f t="shared" si="31"/>
        <v>7.3068766194879409</v>
      </c>
      <c r="V87" s="59">
        <f t="shared" si="31"/>
        <v>1.67</v>
      </c>
      <c r="W87" s="194">
        <f t="shared" si="31"/>
        <v>0.20337473257574767</v>
      </c>
      <c r="X87" s="192">
        <f t="shared" si="21"/>
        <v>0.19929297271768964</v>
      </c>
      <c r="Y87" s="194">
        <f t="shared" si="32"/>
        <v>11.957578363061378</v>
      </c>
      <c r="Z87" s="195">
        <f t="shared" si="23"/>
        <v>-5294.9644309763598</v>
      </c>
      <c r="AA87" s="196">
        <f t="shared" si="24"/>
        <v>-536.65745362843313</v>
      </c>
    </row>
    <row r="88" spans="1:27">
      <c r="S88" s="175">
        <v>2053</v>
      </c>
      <c r="T88" s="192">
        <f t="shared" si="18"/>
        <v>0.12178127699146568</v>
      </c>
      <c r="U88" s="193">
        <f t="shared" si="31"/>
        <v>7.3068766194879409</v>
      </c>
      <c r="V88" s="59">
        <f t="shared" si="31"/>
        <v>1.67</v>
      </c>
      <c r="W88" s="194">
        <f t="shared" si="31"/>
        <v>0.20337473257574767</v>
      </c>
      <c r="X88" s="192">
        <f t="shared" si="21"/>
        <v>0.19929297271768964</v>
      </c>
      <c r="Y88" s="194">
        <f t="shared" si="32"/>
        <v>11.957578363061378</v>
      </c>
      <c r="Z88" s="195">
        <f t="shared" si="23"/>
        <v>-5294.9644309763598</v>
      </c>
      <c r="AA88" s="196">
        <f t="shared" si="24"/>
        <v>-536.65745362843313</v>
      </c>
    </row>
    <row r="89" spans="1:27">
      <c r="S89" s="175">
        <v>2054</v>
      </c>
      <c r="T89" s="192">
        <f t="shared" si="18"/>
        <v>0.12178127699146568</v>
      </c>
      <c r="U89" s="193">
        <f t="shared" si="31"/>
        <v>7.3068766194879409</v>
      </c>
      <c r="V89" s="59">
        <f t="shared" si="31"/>
        <v>1.67</v>
      </c>
      <c r="W89" s="194">
        <f t="shared" si="31"/>
        <v>0.20337473257574767</v>
      </c>
      <c r="X89" s="192">
        <f t="shared" si="21"/>
        <v>0.19929297271768964</v>
      </c>
      <c r="Y89" s="194">
        <f t="shared" si="32"/>
        <v>11.957578363061378</v>
      </c>
      <c r="Z89" s="195">
        <f t="shared" si="23"/>
        <v>-5294.9644309763598</v>
      </c>
      <c r="AA89" s="196">
        <f t="shared" si="24"/>
        <v>-536.65745362843313</v>
      </c>
    </row>
    <row r="90" spans="1:27" ht="15.75" thickBot="1">
      <c r="S90" s="184">
        <v>2055</v>
      </c>
      <c r="T90" s="197">
        <f t="shared" si="18"/>
        <v>0.12178127699146568</v>
      </c>
      <c r="U90" s="198">
        <f t="shared" si="31"/>
        <v>7.3068766194879409</v>
      </c>
      <c r="V90" s="189">
        <f t="shared" si="31"/>
        <v>1.67</v>
      </c>
      <c r="W90" s="199">
        <f t="shared" si="31"/>
        <v>0.20337473257574767</v>
      </c>
      <c r="X90" s="197">
        <f t="shared" si="21"/>
        <v>0.19929297271768964</v>
      </c>
      <c r="Y90" s="199">
        <f t="shared" si="32"/>
        <v>11.957578363061378</v>
      </c>
      <c r="Z90" s="200">
        <f t="shared" si="23"/>
        <v>-5294.9644309763598</v>
      </c>
      <c r="AA90" s="201">
        <f t="shared" si="24"/>
        <v>-536.65745362843313</v>
      </c>
    </row>
    <row r="91" spans="1:27">
      <c r="S91" s="175">
        <v>2056</v>
      </c>
      <c r="T91" s="192">
        <f t="shared" si="18"/>
        <v>0.12178127699146568</v>
      </c>
      <c r="U91" s="193">
        <f t="shared" si="31"/>
        <v>7.3068766194879409</v>
      </c>
      <c r="V91" s="59">
        <f t="shared" si="31"/>
        <v>1.67</v>
      </c>
      <c r="W91" s="194">
        <f t="shared" si="31"/>
        <v>0.20337473257574767</v>
      </c>
      <c r="X91" s="192">
        <f t="shared" si="21"/>
        <v>0.19929297271768964</v>
      </c>
      <c r="Y91" s="194">
        <f t="shared" si="32"/>
        <v>11.957578363061378</v>
      </c>
      <c r="Z91" s="195">
        <f t="shared" si="23"/>
        <v>-5294.9644309763598</v>
      </c>
      <c r="AA91" s="196">
        <f t="shared" si="24"/>
        <v>-536.65745362843313</v>
      </c>
    </row>
    <row r="92" spans="1:27">
      <c r="S92" s="175">
        <v>2057</v>
      </c>
      <c r="T92" s="192">
        <f t="shared" si="18"/>
        <v>0.12178127699146568</v>
      </c>
      <c r="U92" s="193">
        <f t="shared" si="31"/>
        <v>7.3068766194879409</v>
      </c>
      <c r="V92" s="59">
        <f t="shared" si="31"/>
        <v>1.67</v>
      </c>
      <c r="W92" s="194">
        <f t="shared" si="31"/>
        <v>0.20337473257574767</v>
      </c>
      <c r="X92" s="192">
        <f t="shared" si="21"/>
        <v>0.19929297271768964</v>
      </c>
      <c r="Y92" s="194">
        <f t="shared" si="32"/>
        <v>11.957578363061378</v>
      </c>
      <c r="Z92" s="195">
        <f t="shared" si="23"/>
        <v>-5294.9644309763598</v>
      </c>
      <c r="AA92" s="196">
        <f t="shared" si="24"/>
        <v>-536.65745362843313</v>
      </c>
    </row>
    <row r="93" spans="1:27">
      <c r="S93" s="175">
        <v>2058</v>
      </c>
      <c r="T93" s="192">
        <f t="shared" si="18"/>
        <v>0.12178127699146568</v>
      </c>
      <c r="U93" s="193">
        <f t="shared" si="31"/>
        <v>7.3068766194879409</v>
      </c>
      <c r="V93" s="59">
        <f t="shared" si="31"/>
        <v>1.67</v>
      </c>
      <c r="W93" s="194">
        <f t="shared" si="31"/>
        <v>0.20337473257574767</v>
      </c>
      <c r="X93" s="192">
        <f t="shared" si="21"/>
        <v>0.19929297271768964</v>
      </c>
      <c r="Y93" s="194">
        <f t="shared" si="32"/>
        <v>11.957578363061378</v>
      </c>
      <c r="Z93" s="195">
        <f t="shared" si="23"/>
        <v>-5294.9644309763598</v>
      </c>
      <c r="AA93" s="196">
        <f t="shared" si="24"/>
        <v>-536.65745362843313</v>
      </c>
    </row>
    <row r="94" spans="1:27">
      <c r="S94" s="175">
        <v>2059</v>
      </c>
      <c r="T94" s="192">
        <f t="shared" si="18"/>
        <v>0.12178127699146568</v>
      </c>
      <c r="U94" s="193">
        <f t="shared" si="31"/>
        <v>7.3068766194879409</v>
      </c>
      <c r="V94" s="59">
        <f t="shared" si="31"/>
        <v>1.67</v>
      </c>
      <c r="W94" s="194">
        <f t="shared" si="31"/>
        <v>0.20337473257574767</v>
      </c>
      <c r="X94" s="192">
        <f t="shared" si="21"/>
        <v>0.19929297271768964</v>
      </c>
      <c r="Y94" s="194">
        <f t="shared" si="32"/>
        <v>11.957578363061378</v>
      </c>
      <c r="Z94" s="195">
        <f t="shared" si="23"/>
        <v>-5294.9644309763598</v>
      </c>
      <c r="AA94" s="196">
        <f t="shared" si="24"/>
        <v>-536.65745362843313</v>
      </c>
    </row>
    <row r="95" spans="1:27" ht="15.75" thickBot="1">
      <c r="S95" s="184">
        <v>2060</v>
      </c>
      <c r="T95" s="197">
        <f t="shared" si="18"/>
        <v>0.12178127699146568</v>
      </c>
      <c r="U95" s="198">
        <f t="shared" si="31"/>
        <v>7.3068766194879409</v>
      </c>
      <c r="V95" s="189">
        <f t="shared" si="31"/>
        <v>1.67</v>
      </c>
      <c r="W95" s="199">
        <f t="shared" si="31"/>
        <v>0.20337473257574767</v>
      </c>
      <c r="X95" s="197">
        <f t="shared" si="21"/>
        <v>0.19929297271768964</v>
      </c>
      <c r="Y95" s="199">
        <f t="shared" si="32"/>
        <v>11.957578363061378</v>
      </c>
      <c r="Z95" s="200">
        <f t="shared" si="23"/>
        <v>-5294.9644309763598</v>
      </c>
      <c r="AA95" s="201">
        <f t="shared" si="24"/>
        <v>-536.65745362843313</v>
      </c>
    </row>
  </sheetData>
  <mergeCells count="62">
    <mergeCell ref="Z52:AA52"/>
    <mergeCell ref="S50:S53"/>
    <mergeCell ref="T50:W50"/>
    <mergeCell ref="X50:Y50"/>
    <mergeCell ref="T51:T52"/>
    <mergeCell ref="U51:U52"/>
    <mergeCell ref="V51:V52"/>
    <mergeCell ref="W51:W52"/>
    <mergeCell ref="X51:X52"/>
    <mergeCell ref="Y51:Y52"/>
    <mergeCell ref="A10:D10"/>
    <mergeCell ref="T49:AA49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C33:D33"/>
    <mergeCell ref="C34:D34"/>
    <mergeCell ref="X3:AA3"/>
    <mergeCell ref="A7:D7"/>
    <mergeCell ref="A8:D8"/>
    <mergeCell ref="A9:D9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V2:AW2"/>
    <mergeCell ref="AV3:AW3"/>
    <mergeCell ref="AV4:AW4"/>
    <mergeCell ref="AV5:AW5"/>
    <mergeCell ref="AF6:AG6"/>
    <mergeCell ref="AP6:AQ6"/>
    <mergeCell ref="AV6:AW6"/>
    <mergeCell ref="AD12:AD13"/>
    <mergeCell ref="AS12:AS13"/>
    <mergeCell ref="I2:I4"/>
    <mergeCell ref="A5:D5"/>
    <mergeCell ref="A6:D6"/>
    <mergeCell ref="A2:D4"/>
    <mergeCell ref="E2:E4"/>
    <mergeCell ref="F2:F4"/>
    <mergeCell ref="G2:G4"/>
    <mergeCell ref="H2:H4"/>
    <mergeCell ref="K2:K4"/>
    <mergeCell ref="L2:S2"/>
    <mergeCell ref="T2:AA2"/>
    <mergeCell ref="L3:O3"/>
    <mergeCell ref="P3:S3"/>
    <mergeCell ref="T3:W3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adde96b7-11af-4d25-b782-ea1273c7bcb4">Application Information</Category>
    <URL xmlns="http://schemas.microsoft.com/sharepoint/v3">
      <Url xsi:nil="true"/>
      <Description xsi:nil="true"/>
    </URL>
    <PublishingExpirationDate xmlns="http://schemas.microsoft.com/sharepoint/v3" xsi:nil="true"/>
    <PublishingStartDate xmlns="http://schemas.microsoft.com/sharepoint/v3" xsi:nil="true"/>
    <SortOrder xmlns="adde96b7-11af-4d25-b782-ea1273c7bcb4">3</SortOrder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2FB154D45D024B814F8C051C3401A5" ma:contentTypeVersion="7" ma:contentTypeDescription="Create a new document." ma:contentTypeScope="" ma:versionID="f50e9315f7a3c52f301d92909caee8d7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xmlns:ns3="adde96b7-11af-4d25-b782-ea1273c7bcb4" targetNamespace="http://schemas.microsoft.com/office/2006/metadata/properties" ma:root="true" ma:fieldsID="72edbb28ff0775357c21e9b38215861e" ns1:_="" ns2:_="" ns3:_="">
    <xsd:import namespace="http://schemas.microsoft.com/sharepoint/v3"/>
    <xsd:import namespace="16f00c2e-ac5c-418b-9f13-a0771dbd417d"/>
    <xsd:import namespace="adde96b7-11af-4d25-b782-ea1273c7bc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URL" minOccurs="0"/>
                <xsd:element ref="ns1:PublishingStartDate" minOccurs="0"/>
                <xsd:element ref="ns1:PublishingExpirationDate" minOccurs="0"/>
                <xsd:element ref="ns3:Category" minOccurs="0"/>
                <xsd:element ref="ns3:SortOr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de96b7-11af-4d25-b782-ea1273c7bcb4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format="Dropdown" ma:internalName="Category" ma:readOnly="false">
      <xsd:simpleType>
        <xsd:restriction base="dms:Choice">
          <xsd:enumeration value="Appendices and Supporting Information"/>
          <xsd:enumeration value="Application Information"/>
          <xsd:enumeration value="Business"/>
          <xsd:enumeration value="Crash Data"/>
          <xsd:enumeration value="Letters of Support"/>
          <xsd:enumeration value="NC Government"/>
          <xsd:enumeration value="Operations and Maintenance"/>
          <xsd:enumeration value="Organizations"/>
          <xsd:enumeration value="Technical Studies"/>
          <xsd:enumeration value="White Papers"/>
        </xsd:restriction>
      </xsd:simpleType>
    </xsd:element>
    <xsd:element name="SortOrder" ma:index="11" nillable="true" ma:displayName="SortOrder" ma:decimals="0" ma:internalName="SortOrder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19E9B9-5B31-4B93-97F2-5BA77DCAA965}"/>
</file>

<file path=customXml/itemProps2.xml><?xml version="1.0" encoding="utf-8"?>
<ds:datastoreItem xmlns:ds="http://schemas.openxmlformats.org/officeDocument/2006/customXml" ds:itemID="{0124C6E1-5F9B-4354-8098-6279EF243481}"/>
</file>

<file path=customXml/itemProps3.xml><?xml version="1.0" encoding="utf-8"?>
<ds:datastoreItem xmlns:ds="http://schemas.openxmlformats.org/officeDocument/2006/customXml" ds:itemID="{5AD34CF6-DA0C-4754-B6B7-7187916144FF}"/>
</file>

<file path=customXml/itemProps4.xml><?xml version="1.0" encoding="utf-8"?>
<ds:datastoreItem xmlns:ds="http://schemas.openxmlformats.org/officeDocument/2006/customXml" ds:itemID="{A58416FB-B8D7-4C62-A767-8F2B056D3B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BCA-Summary</vt:lpstr>
      <vt:lpstr>Inputs</vt:lpstr>
      <vt:lpstr>Traffic_related_data</vt:lpstr>
      <vt:lpstr>Auto_TT_Savings</vt:lpstr>
      <vt:lpstr>Truck_OperatingSavings</vt:lpstr>
      <vt:lpstr>Incident Management_Savings</vt:lpstr>
      <vt:lpstr>Incident Management Calculation</vt:lpstr>
      <vt:lpstr>Resiliency_Savings</vt:lpstr>
      <vt:lpstr>Resiliency_Traffic_related_data</vt:lpstr>
      <vt:lpstr>Reliability_Savings</vt:lpstr>
      <vt:lpstr>Fiber</vt:lpstr>
      <vt:lpstr>PopProjections3</vt:lpstr>
      <vt:lpstr>PopProjections4</vt:lpstr>
      <vt:lpstr>Safety</vt:lpstr>
      <vt:lpstr>CapitalCosts </vt:lpstr>
      <vt:lpstr>O&amp;M_Costs</vt:lpstr>
      <vt:lpstr>Costs_Summary</vt:lpstr>
      <vt:lpstr>Alt. 1 Cost Estimate</vt:lpstr>
      <vt:lpstr>O&amp;M_AR_Costs</vt:lpstr>
      <vt:lpstr>Residual</vt:lpstr>
      <vt:lpstr>Deflator</vt:lpstr>
      <vt:lpstr>Auto-OperatingCostSavings</vt:lpstr>
      <vt:lpstr>PavementCostSavings</vt:lpstr>
      <vt:lpstr>CongestionCostSavings</vt:lpstr>
      <vt:lpstr>EmissionSavings</vt:lpstr>
      <vt:lpstr>'Alt. 1 Cost Estimate'!Print_Area</vt:lpstr>
    </vt:vector>
  </TitlesOfParts>
  <Company>AECOM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BCA (locked)</dc:title>
  <dc:creator>Santhanam, Srividya</dc:creator>
  <cp:lastModifiedBy>Hulsey, Steven L</cp:lastModifiedBy>
  <cp:lastPrinted>2019-02-25T20:05:57Z</cp:lastPrinted>
  <dcterms:created xsi:type="dcterms:W3CDTF">2018-06-12T20:00:02Z</dcterms:created>
  <dcterms:modified xsi:type="dcterms:W3CDTF">2020-05-18T14:52:22Z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0x0101009B2FB154D45D024B814F8C051C3401A5</vt:lpwstr>
  </property>
  <property fmtid="{D5CDD505-2E9C-101B-9397-08002B2CF9AE}" pid="3" name="Order">
    <vt:r8>8700</vt:r8>
  </property>
</Properties>
</file>